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showInkAnnotation="0" codeName="ThisWorkbook"/>
  <mc:AlternateContent xmlns:mc="http://schemas.openxmlformats.org/markup-compatibility/2006">
    <mc:Choice Requires="x15">
      <x15ac:absPath xmlns:x15ac="http://schemas.microsoft.com/office/spreadsheetml/2010/11/ac" url="/Users/arielacuzar/Desktop/A Hamilo/Sola/compu/"/>
    </mc:Choice>
  </mc:AlternateContent>
  <xr:revisionPtr revIDLastSave="0" documentId="8_{BF117360-3497-4F4E-BCA5-1244E677258E}" xr6:coauthVersionLast="47" xr6:coauthVersionMax="47" xr10:uidLastSave="{00000000-0000-0000-0000-000000000000}"/>
  <workbookProtection workbookPassword="8BA1" lockStructure="1"/>
  <bookViews>
    <workbookView xWindow="0" yWindow="460" windowWidth="28800" windowHeight="16620" activeTab="1" xr2:uid="{00000000-000D-0000-FFFF-FFFF00000000}"/>
  </bookViews>
  <sheets>
    <sheet name="SOLA Pricelist" sheetId="3" state="hidden" r:id="rId1"/>
    <sheet name="INPUT" sheetId="1" r:id="rId2"/>
    <sheet name="Sheet1" sheetId="33" state="hidden" r:id="rId3"/>
    <sheet name="Summary" sheetId="29" r:id="rId4"/>
    <sheet name="SOLA-1" sheetId="42" r:id="rId5"/>
    <sheet name="SOLA-2" sheetId="43" r:id="rId6"/>
    <sheet name="RFO1" sheetId="11" state="hidden" r:id="rId7"/>
    <sheet name="RFO2" sheetId="18" state="hidden" r:id="rId8"/>
    <sheet name="RFO3" sheetId="19" state="hidden" r:id="rId9"/>
    <sheet name="RFO4" sheetId="20" state="hidden" r:id="rId10"/>
    <sheet name="RFO5" sheetId="21" state="hidden" r:id="rId11"/>
    <sheet name="SOLA-3" sheetId="44" r:id="rId12"/>
    <sheet name="SOLA-4" sheetId="45" r:id="rId13"/>
    <sheet name="SOLA-5" sheetId="46" state="hidden" r:id="rId14"/>
    <sheet name="SOLA-6" sheetId="13" state="hidden" r:id="rId15"/>
    <sheet name="CSISUM" sheetId="30" r:id="rId16"/>
    <sheet name="CS1" sheetId="23" r:id="rId17"/>
    <sheet name="CS2" sheetId="24" r:id="rId18"/>
    <sheet name="CS3" sheetId="25" r:id="rId19"/>
    <sheet name="CS4" sheetId="26" r:id="rId20"/>
    <sheet name="CS5" sheetId="27" r:id="rId21"/>
    <sheet name="Sheet2" sheetId="38" state="hidden" r:id="rId22"/>
  </sheets>
  <externalReferences>
    <externalReference r:id="rId23"/>
  </externalReferences>
  <definedNames>
    <definedName name="_xlnm._FilterDatabase" localSheetId="0" hidden="1">'SOLA Pricelist'!$A$9:$AD$78</definedName>
    <definedName name="_xlnm.Print_Area" localSheetId="16">'CS1'!$A$1:$F$24</definedName>
    <definedName name="_xlnm.Print_Area" localSheetId="20">'CS5'!$A$1:$F$71</definedName>
    <definedName name="_xlnm.Print_Area" localSheetId="1">INPUT!$A$1:$T$53</definedName>
    <definedName name="_xlnm.Print_Area" localSheetId="6">'RFO1'!$A$1:$G$39</definedName>
    <definedName name="_xlnm.Print_Area" localSheetId="7">'RFO2'!$A$1:$G$42</definedName>
    <definedName name="_xlnm.Print_Area" localSheetId="8">'RFO3'!$A$1:$G$64</definedName>
    <definedName name="_xlnm.Print_Area" localSheetId="9">'RFO4'!$A$1:$G$99</definedName>
    <definedName name="_xlnm.Print_Area" localSheetId="10">'RFO5'!$A$1:$G$157</definedName>
    <definedName name="_xlnm.Print_Area" localSheetId="4">'SOLA-1'!$A$1:$G$106</definedName>
    <definedName name="_xlnm.Print_Area" localSheetId="5">'SOLA-2'!$A$1:$G$106</definedName>
    <definedName name="_xlnm.Print_Area" localSheetId="11">'SOLA-3'!$A$1:$G$105</definedName>
    <definedName name="_xlnm.Print_Area" localSheetId="12">'SOLA-4'!$A$1:$G$106</definedName>
    <definedName name="_xlnm.Print_Area" localSheetId="13">'SOLA-5'!$A$1:$G$165</definedName>
    <definedName name="_xlnm.Print_Area" localSheetId="14">'SOLA-6'!$A$1:$G$106</definedName>
    <definedName name="_xlnm.Print_Area" localSheetId="3">Summary!$A$1:$I$103</definedName>
    <definedName name="_xlnm.Print_Titles" localSheetId="0">'SOLA Pricelist'!$3:$9</definedName>
    <definedName name="_xlnm.Print_Titles" localSheetId="3">Summary!$1:$21</definedName>
  </definedNames>
  <calcPr calcId="191029"/>
</workbook>
</file>

<file path=xl/calcChain.xml><?xml version="1.0" encoding="utf-8"?>
<calcChain xmlns="http://schemas.openxmlformats.org/spreadsheetml/2006/main">
  <c r="H18" i="3" l="1"/>
  <c r="J18" i="3"/>
  <c r="H17" i="3"/>
  <c r="J17" i="3"/>
  <c r="M17" i="3" s="1"/>
  <c r="A12" i="29"/>
  <c r="C12" i="29" s="1"/>
  <c r="A14" i="42"/>
  <c r="H62" i="3"/>
  <c r="J62" i="3" s="1"/>
  <c r="H61" i="3"/>
  <c r="J61" i="3" s="1"/>
  <c r="M61" i="3" s="1"/>
  <c r="H60" i="3"/>
  <c r="J60" i="3"/>
  <c r="M60" i="3" s="1"/>
  <c r="H59" i="3"/>
  <c r="J59" i="3" s="1"/>
  <c r="M59" i="3" s="1"/>
  <c r="H58" i="3"/>
  <c r="J58" i="3" s="1"/>
  <c r="H57" i="3"/>
  <c r="J57" i="3"/>
  <c r="X57" i="3" s="1"/>
  <c r="H56" i="3"/>
  <c r="J56" i="3" s="1"/>
  <c r="L56" i="3" s="1"/>
  <c r="O56" i="3" s="1"/>
  <c r="H55" i="3"/>
  <c r="J55" i="3" s="1"/>
  <c r="X55" i="3" s="1"/>
  <c r="H54" i="3"/>
  <c r="J54" i="3"/>
  <c r="H53" i="3"/>
  <c r="J53" i="3" s="1"/>
  <c r="H52" i="3"/>
  <c r="J52" i="3" s="1"/>
  <c r="H51" i="3"/>
  <c r="J51" i="3" s="1"/>
  <c r="X51" i="3" s="1"/>
  <c r="H50" i="3"/>
  <c r="J50" i="3" s="1"/>
  <c r="L50" i="3" s="1"/>
  <c r="O50" i="3" s="1"/>
  <c r="H49" i="3"/>
  <c r="J49" i="3" s="1"/>
  <c r="L49" i="3" s="1"/>
  <c r="H48" i="3"/>
  <c r="J48" i="3"/>
  <c r="H47" i="3"/>
  <c r="J47" i="3"/>
  <c r="L47" i="3" s="1"/>
  <c r="O47" i="3" s="1"/>
  <c r="H46" i="3"/>
  <c r="J46" i="3"/>
  <c r="M46" i="3" s="1"/>
  <c r="H45" i="3"/>
  <c r="J45" i="3" s="1"/>
  <c r="H44" i="3"/>
  <c r="J44" i="3"/>
  <c r="H43" i="3"/>
  <c r="J43" i="3"/>
  <c r="L43" i="3" s="1"/>
  <c r="O43" i="3" s="1"/>
  <c r="C62" i="3"/>
  <c r="C61" i="3"/>
  <c r="C60" i="3"/>
  <c r="C59" i="3"/>
  <c r="S59" i="3"/>
  <c r="C58" i="3"/>
  <c r="C57" i="3"/>
  <c r="C56" i="3"/>
  <c r="S56" i="3"/>
  <c r="C55" i="3"/>
  <c r="C54" i="3"/>
  <c r="C53" i="3"/>
  <c r="C52" i="3"/>
  <c r="C51" i="3"/>
  <c r="C50" i="3"/>
  <c r="C49" i="3"/>
  <c r="C48" i="3"/>
  <c r="S48" i="3" s="1"/>
  <c r="C47" i="3"/>
  <c r="S47" i="3" s="1"/>
  <c r="C46" i="3"/>
  <c r="C45" i="3"/>
  <c r="C44" i="3"/>
  <c r="C43" i="3"/>
  <c r="S43" i="3"/>
  <c r="C42" i="3"/>
  <c r="C41" i="3"/>
  <c r="S41" i="3" s="1"/>
  <c r="C40" i="3"/>
  <c r="C39" i="3"/>
  <c r="S39" i="3"/>
  <c r="C38" i="3"/>
  <c r="C37" i="3"/>
  <c r="C36" i="3"/>
  <c r="C35" i="3"/>
  <c r="S35" i="3" s="1"/>
  <c r="C34" i="3"/>
  <c r="S34" i="3" s="1"/>
  <c r="C33" i="3"/>
  <c r="C32" i="3"/>
  <c r="C31" i="3"/>
  <c r="S31" i="3"/>
  <c r="C30" i="3"/>
  <c r="C29" i="3"/>
  <c r="S29" i="3" s="1"/>
  <c r="C28" i="3"/>
  <c r="S28" i="3" s="1"/>
  <c r="C27" i="3"/>
  <c r="C26" i="3"/>
  <c r="C25" i="3"/>
  <c r="C24" i="3"/>
  <c r="C23" i="3"/>
  <c r="S23" i="3" s="1"/>
  <c r="C22" i="3"/>
  <c r="S22" i="3" s="1"/>
  <c r="C21" i="3"/>
  <c r="C20" i="3"/>
  <c r="S20" i="3" s="1"/>
  <c r="C19" i="3"/>
  <c r="S19" i="3" s="1"/>
  <c r="C18" i="3"/>
  <c r="C17" i="3"/>
  <c r="C16" i="3"/>
  <c r="C15" i="3"/>
  <c r="C14" i="3"/>
  <c r="C13" i="3"/>
  <c r="S13" i="3"/>
  <c r="C12" i="3"/>
  <c r="C11" i="3"/>
  <c r="C10" i="3"/>
  <c r="A23" i="29"/>
  <c r="B8" i="13"/>
  <c r="I41" i="3"/>
  <c r="I11" i="3"/>
  <c r="I44" i="3"/>
  <c r="I42" i="3"/>
  <c r="I34" i="3"/>
  <c r="I35" i="3"/>
  <c r="I36" i="3"/>
  <c r="I37" i="3"/>
  <c r="I38" i="3"/>
  <c r="I39" i="3"/>
  <c r="I40" i="3"/>
  <c r="I33" i="3"/>
  <c r="I27" i="3"/>
  <c r="I28" i="3"/>
  <c r="I29" i="3"/>
  <c r="I30" i="3"/>
  <c r="I31" i="3"/>
  <c r="I32" i="3"/>
  <c r="I26" i="3"/>
  <c r="I25" i="3"/>
  <c r="I13" i="3"/>
  <c r="I14" i="3"/>
  <c r="I15" i="3"/>
  <c r="I16" i="3"/>
  <c r="I17" i="3"/>
  <c r="I18" i="3"/>
  <c r="I12" i="3"/>
  <c r="I20" i="3"/>
  <c r="I21" i="3"/>
  <c r="I22" i="3"/>
  <c r="I23" i="3"/>
  <c r="I24" i="3"/>
  <c r="I19" i="3"/>
  <c r="I10" i="3"/>
  <c r="I54" i="3"/>
  <c r="I45" i="3"/>
  <c r="I46" i="3"/>
  <c r="I47" i="3"/>
  <c r="I48" i="3"/>
  <c r="I49" i="3"/>
  <c r="I50" i="3"/>
  <c r="I51" i="3"/>
  <c r="I55" i="3"/>
  <c r="I56" i="3"/>
  <c r="I57" i="3"/>
  <c r="I58" i="3"/>
  <c r="I59" i="3"/>
  <c r="I60" i="3"/>
  <c r="I61" i="3"/>
  <c r="I62" i="3"/>
  <c r="I53" i="3"/>
  <c r="I52" i="3"/>
  <c r="I43" i="3"/>
  <c r="B89" i="29"/>
  <c r="B88" i="29"/>
  <c r="B87" i="29"/>
  <c r="F77" i="29"/>
  <c r="B77" i="29"/>
  <c r="B76" i="29"/>
  <c r="B75" i="29"/>
  <c r="B65" i="29"/>
  <c r="B64" i="29"/>
  <c r="B63" i="29"/>
  <c r="B53" i="29"/>
  <c r="B52" i="29"/>
  <c r="B51" i="29"/>
  <c r="B41" i="29"/>
  <c r="B40" i="29"/>
  <c r="B39" i="29"/>
  <c r="I32" i="46"/>
  <c r="B8" i="46"/>
  <c r="A30" i="46"/>
  <c r="A31" i="46"/>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D21" i="46"/>
  <c r="A21" i="46"/>
  <c r="C21" i="46" s="1"/>
  <c r="A20" i="46"/>
  <c r="A19" i="46"/>
  <c r="A17" i="46"/>
  <c r="D17" i="46" s="1"/>
  <c r="D88" i="29" s="1"/>
  <c r="A16" i="46"/>
  <c r="D16" i="46"/>
  <c r="D87" i="29" s="1"/>
  <c r="A14" i="46"/>
  <c r="C14" i="46" s="1"/>
  <c r="A13" i="46"/>
  <c r="S9" i="46"/>
  <c r="A6" i="46"/>
  <c r="A5" i="46"/>
  <c r="B4" i="46"/>
  <c r="A4" i="46"/>
  <c r="S3" i="46"/>
  <c r="I3" i="46"/>
  <c r="D13" i="46"/>
  <c r="B3" i="46"/>
  <c r="B2" i="46"/>
  <c r="A2" i="46"/>
  <c r="B1" i="46"/>
  <c r="A1" i="46"/>
  <c r="B8" i="45"/>
  <c r="I32" i="45"/>
  <c r="A30" i="45"/>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D21" i="45"/>
  <c r="A21" i="45"/>
  <c r="C21" i="45" s="1"/>
  <c r="A20" i="45"/>
  <c r="A19" i="45"/>
  <c r="A17" i="45"/>
  <c r="D17" i="45" s="1"/>
  <c r="D76" i="29" s="1"/>
  <c r="A16" i="45"/>
  <c r="D16" i="45"/>
  <c r="D75" i="29" s="1"/>
  <c r="A14" i="45"/>
  <c r="C14" i="45" s="1"/>
  <c r="A13" i="45"/>
  <c r="S9" i="45"/>
  <c r="A6" i="45"/>
  <c r="A5" i="45"/>
  <c r="B4" i="45"/>
  <c r="A4" i="45"/>
  <c r="S3" i="45"/>
  <c r="I3" i="45"/>
  <c r="D25" i="45"/>
  <c r="E35" i="45" s="1"/>
  <c r="E79" i="29" s="1"/>
  <c r="B3" i="45"/>
  <c r="B2" i="45"/>
  <c r="A2" i="45"/>
  <c r="B1" i="45"/>
  <c r="A1" i="45"/>
  <c r="I32" i="44"/>
  <c r="B8" i="44"/>
  <c r="A30" i="44"/>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D21" i="44"/>
  <c r="A21" i="44"/>
  <c r="C21" i="44" s="1"/>
  <c r="A20" i="44"/>
  <c r="A19" i="44"/>
  <c r="A17" i="44"/>
  <c r="D17" i="44" s="1"/>
  <c r="D64" i="29" s="1"/>
  <c r="A16" i="44"/>
  <c r="D16" i="44"/>
  <c r="D63" i="29" s="1"/>
  <c r="A14" i="44"/>
  <c r="C14" i="44" s="1"/>
  <c r="A13" i="44"/>
  <c r="S9" i="44"/>
  <c r="A6" i="44"/>
  <c r="A5" i="44"/>
  <c r="B4" i="44"/>
  <c r="A4" i="44"/>
  <c r="S3" i="44"/>
  <c r="I3" i="44"/>
  <c r="B3" i="44"/>
  <c r="B2" i="44"/>
  <c r="A2" i="44"/>
  <c r="B1" i="44"/>
  <c r="A1" i="44"/>
  <c r="E49" i="29"/>
  <c r="I31" i="43"/>
  <c r="B8" i="43"/>
  <c r="A30" i="43"/>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D21" i="43"/>
  <c r="A21" i="43"/>
  <c r="C21" i="43" s="1"/>
  <c r="A20" i="43"/>
  <c r="A19" i="43"/>
  <c r="A17" i="43"/>
  <c r="D17" i="43" s="1"/>
  <c r="D52" i="29" s="1"/>
  <c r="A16" i="43"/>
  <c r="D16" i="43"/>
  <c r="D51" i="29" s="1"/>
  <c r="A14" i="43"/>
  <c r="A13" i="43"/>
  <c r="S9" i="43"/>
  <c r="A6" i="43"/>
  <c r="A5" i="43"/>
  <c r="B4" i="43"/>
  <c r="A4" i="43"/>
  <c r="S3" i="43"/>
  <c r="I3" i="43"/>
  <c r="D13" i="43" s="1"/>
  <c r="B3" i="43"/>
  <c r="B2" i="43"/>
  <c r="A2" i="43"/>
  <c r="B1" i="43"/>
  <c r="A1" i="43"/>
  <c r="B8" i="42"/>
  <c r="I31" i="42"/>
  <c r="A30" i="42"/>
  <c r="A31" i="42"/>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D21" i="42"/>
  <c r="A21" i="42"/>
  <c r="C21" i="42"/>
  <c r="A20" i="42"/>
  <c r="A19" i="42"/>
  <c r="A17" i="42"/>
  <c r="D17" i="42"/>
  <c r="D40" i="29" s="1"/>
  <c r="A16" i="42"/>
  <c r="D16" i="42" s="1"/>
  <c r="D39" i="29" s="1"/>
  <c r="C14" i="42"/>
  <c r="A13" i="42"/>
  <c r="S9" i="42"/>
  <c r="A6" i="42"/>
  <c r="A5" i="42"/>
  <c r="B4" i="42"/>
  <c r="A4" i="42"/>
  <c r="S3" i="42"/>
  <c r="I3" i="42"/>
  <c r="D29" i="42"/>
  <c r="B3" i="42"/>
  <c r="B2" i="42"/>
  <c r="A2" i="42"/>
  <c r="B1" i="42"/>
  <c r="A1" i="42"/>
  <c r="I31" i="13"/>
  <c r="A21" i="13"/>
  <c r="C21" i="13"/>
  <c r="A20" i="13"/>
  <c r="D21" i="13"/>
  <c r="A17" i="13"/>
  <c r="D17" i="13"/>
  <c r="D29" i="29" s="1"/>
  <c r="A16" i="13"/>
  <c r="D16" i="13" s="1"/>
  <c r="D28" i="29" s="1"/>
  <c r="A13" i="13"/>
  <c r="A14" i="13"/>
  <c r="C14" i="13" s="1"/>
  <c r="B1" i="13"/>
  <c r="A1" i="13"/>
  <c r="B4" i="13"/>
  <c r="A5" i="13"/>
  <c r="A6" i="13"/>
  <c r="A4" i="13"/>
  <c r="A2" i="13"/>
  <c r="A5" i="29"/>
  <c r="A6" i="29"/>
  <c r="A4" i="29"/>
  <c r="A2" i="29"/>
  <c r="B4" i="29"/>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D20" i="1" s="1"/>
  <c r="B6" i="45" s="1"/>
  <c r="Q21" i="3"/>
  <c r="Q20" i="3"/>
  <c r="Q19" i="3"/>
  <c r="Q18" i="3"/>
  <c r="Q17" i="3"/>
  <c r="Q16" i="3"/>
  <c r="Q15" i="3"/>
  <c r="Q14" i="3"/>
  <c r="Q13" i="3"/>
  <c r="Q12" i="3"/>
  <c r="Q11" i="3"/>
  <c r="G7" i="3"/>
  <c r="A15" i="29"/>
  <c r="C15" i="29"/>
  <c r="D15" i="29"/>
  <c r="H15" i="29" s="1"/>
  <c r="A11" i="29"/>
  <c r="Q10" i="3"/>
  <c r="C8" i="3"/>
  <c r="D8" i="3" s="1"/>
  <c r="E8" i="3" s="1"/>
  <c r="F8" i="3" s="1"/>
  <c r="G8" i="3" s="1"/>
  <c r="H8" i="3" s="1"/>
  <c r="I8" i="3" s="1"/>
  <c r="J8" i="3" s="1"/>
  <c r="K8" i="3" s="1"/>
  <c r="L8" i="3" s="1"/>
  <c r="M8" i="3" s="1"/>
  <c r="N8" i="3" s="1"/>
  <c r="O8" i="3" s="1"/>
  <c r="P8" i="3" s="1"/>
  <c r="Q8" i="3" s="1"/>
  <c r="L48" i="3"/>
  <c r="O48" i="3" s="1"/>
  <c r="X44" i="3"/>
  <c r="J42" i="3"/>
  <c r="J41" i="3"/>
  <c r="M41" i="3"/>
  <c r="J40" i="3"/>
  <c r="J39" i="3"/>
  <c r="L39" i="3" s="1"/>
  <c r="J38" i="3"/>
  <c r="J37" i="3"/>
  <c r="M37" i="3" s="1"/>
  <c r="J36" i="3"/>
  <c r="J35" i="3"/>
  <c r="J34" i="3"/>
  <c r="L34" i="3" s="1"/>
  <c r="M34" i="3"/>
  <c r="J33" i="3"/>
  <c r="J32" i="3"/>
  <c r="J31" i="3"/>
  <c r="J30" i="3"/>
  <c r="X30" i="3"/>
  <c r="J29" i="3"/>
  <c r="L29" i="3"/>
  <c r="J28" i="3"/>
  <c r="X28" i="3"/>
  <c r="L28" i="3"/>
  <c r="O28" i="3"/>
  <c r="J27" i="3"/>
  <c r="M27" i="3"/>
  <c r="L27" i="3"/>
  <c r="J26" i="3"/>
  <c r="X26" i="3" s="1"/>
  <c r="J25" i="3"/>
  <c r="J24" i="3"/>
  <c r="L24" i="3" s="1"/>
  <c r="J23" i="3"/>
  <c r="M23" i="3" s="1"/>
  <c r="J22" i="3"/>
  <c r="J21" i="3"/>
  <c r="J20" i="3"/>
  <c r="J19" i="3"/>
  <c r="X19" i="3"/>
  <c r="J16" i="3"/>
  <c r="M16" i="3"/>
  <c r="J15" i="3"/>
  <c r="M15" i="3"/>
  <c r="J14" i="3"/>
  <c r="J13" i="3"/>
  <c r="J12" i="3"/>
  <c r="M12" i="3" s="1"/>
  <c r="J11" i="3"/>
  <c r="X11" i="3" s="1"/>
  <c r="J10" i="3"/>
  <c r="S12" i="3"/>
  <c r="S14" i="3"/>
  <c r="S15" i="3"/>
  <c r="S16" i="3"/>
  <c r="S18" i="3"/>
  <c r="S21" i="3"/>
  <c r="S27" i="3"/>
  <c r="S30" i="3"/>
  <c r="S33" i="3"/>
  <c r="S36" i="3"/>
  <c r="S37" i="3"/>
  <c r="S38" i="3"/>
  <c r="S40" i="3"/>
  <c r="S42" i="3"/>
  <c r="S44" i="3"/>
  <c r="S46" i="3"/>
  <c r="S49" i="3"/>
  <c r="S51" i="3"/>
  <c r="S52" i="3"/>
  <c r="S53" i="3"/>
  <c r="S54" i="3"/>
  <c r="S55" i="3"/>
  <c r="S58" i="3"/>
  <c r="S60" i="3"/>
  <c r="S61" i="3"/>
  <c r="S62" i="3"/>
  <c r="S17" i="3"/>
  <c r="S26" i="3"/>
  <c r="S32" i="3"/>
  <c r="S50" i="3"/>
  <c r="A70" i="29"/>
  <c r="A82" i="29"/>
  <c r="K29" i="29"/>
  <c r="X23" i="3"/>
  <c r="X34" i="3"/>
  <c r="K7" i="3"/>
  <c r="A13" i="29"/>
  <c r="A19" i="13"/>
  <c r="G21" i="29"/>
  <c r="G13" i="29"/>
  <c r="U7" i="29"/>
  <c r="D44" i="29"/>
  <c r="E44" i="29"/>
  <c r="C44" i="29"/>
  <c r="B30" i="29"/>
  <c r="B29" i="29"/>
  <c r="I3" i="13"/>
  <c r="K6" i="3"/>
  <c r="S3" i="13"/>
  <c r="S9" i="13"/>
  <c r="U3" i="29"/>
  <c r="K3" i="29"/>
  <c r="A14" i="29"/>
  <c r="B28" i="29"/>
  <c r="K15" i="29"/>
  <c r="A58" i="29"/>
  <c r="A34" i="29"/>
  <c r="A30" i="13"/>
  <c r="A31" i="13" s="1"/>
  <c r="A32" i="13" s="1"/>
  <c r="A33" i="13"/>
  <c r="A34" i="13"/>
  <c r="A35" i="13" s="1"/>
  <c r="A36" i="13" s="1"/>
  <c r="A37" i="13" s="1"/>
  <c r="A38" i="13"/>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46" i="29"/>
  <c r="D14" i="18"/>
  <c r="H15" i="18"/>
  <c r="C15" i="18"/>
  <c r="D14" i="11"/>
  <c r="G14" i="11" s="1"/>
  <c r="H15" i="11"/>
  <c r="C15" i="11"/>
  <c r="I2" i="18"/>
  <c r="I1" i="11"/>
  <c r="I2" i="11"/>
  <c r="E25" i="11"/>
  <c r="A18" i="11"/>
  <c r="C18" i="11" s="1"/>
  <c r="A15" i="11"/>
  <c r="I2" i="19"/>
  <c r="I1" i="19"/>
  <c r="I1" i="18"/>
  <c r="K2" i="11"/>
  <c r="I1" i="21"/>
  <c r="B6" i="21"/>
  <c r="D13" i="21"/>
  <c r="G13" i="21" s="1"/>
  <c r="A16" i="21"/>
  <c r="C16" i="21"/>
  <c r="I2" i="21"/>
  <c r="I1" i="20"/>
  <c r="B8" i="19"/>
  <c r="K2" i="19"/>
  <c r="B3" i="29"/>
  <c r="B2" i="29"/>
  <c r="E8" i="30"/>
  <c r="C48" i="30"/>
  <c r="E45" i="30"/>
  <c r="E46" i="30" s="1"/>
  <c r="E36" i="30"/>
  <c r="E37" i="30" s="1"/>
  <c r="C39" i="30"/>
  <c r="E26" i="30"/>
  <c r="C30" i="30"/>
  <c r="E17" i="30"/>
  <c r="B2" i="30"/>
  <c r="B2" i="27"/>
  <c r="B2" i="26"/>
  <c r="B2" i="25"/>
  <c r="B2" i="24"/>
  <c r="B2" i="23"/>
  <c r="C21" i="30"/>
  <c r="E8" i="24"/>
  <c r="E9" i="24" s="1"/>
  <c r="B3" i="24"/>
  <c r="C12" i="30"/>
  <c r="B3" i="30"/>
  <c r="B1" i="29"/>
  <c r="D33" i="1"/>
  <c r="B8" i="20"/>
  <c r="B8" i="21"/>
  <c r="A15" i="21"/>
  <c r="A14" i="21"/>
  <c r="A13" i="21"/>
  <c r="A17" i="20"/>
  <c r="A16" i="20"/>
  <c r="A15" i="20"/>
  <c r="D14" i="20"/>
  <c r="G14" i="20"/>
  <c r="A14" i="20"/>
  <c r="H15" i="19"/>
  <c r="C15" i="19"/>
  <c r="A18" i="19"/>
  <c r="C18" i="19" s="1"/>
  <c r="A17" i="19"/>
  <c r="A16" i="19"/>
  <c r="A15" i="19"/>
  <c r="D14" i="19"/>
  <c r="G14" i="19" s="1"/>
  <c r="A14" i="19"/>
  <c r="A18" i="18"/>
  <c r="C18" i="18" s="1"/>
  <c r="A17" i="18"/>
  <c r="A16" i="18"/>
  <c r="A15" i="18"/>
  <c r="A14" i="18"/>
  <c r="A17" i="11"/>
  <c r="A16" i="11"/>
  <c r="B8" i="11"/>
  <c r="A14" i="11"/>
  <c r="B3" i="25"/>
  <c r="E8" i="23"/>
  <c r="E9" i="23" s="1"/>
  <c r="E8" i="25"/>
  <c r="E9" i="25" s="1"/>
  <c r="E8" i="26"/>
  <c r="C13" i="26"/>
  <c r="C14" i="26"/>
  <c r="C15" i="26" s="1"/>
  <c r="C16" i="26" s="1"/>
  <c r="C17" i="26" s="1"/>
  <c r="C18" i="26" s="1"/>
  <c r="C19" i="26" s="1"/>
  <c r="C20" i="26" s="1"/>
  <c r="C21" i="26" s="1"/>
  <c r="C12" i="26"/>
  <c r="E8" i="27"/>
  <c r="B3" i="27"/>
  <c r="B3" i="26"/>
  <c r="B4" i="24"/>
  <c r="B4" i="23"/>
  <c r="B4" i="27"/>
  <c r="B4" i="26"/>
  <c r="B4" i="25"/>
  <c r="B3" i="23"/>
  <c r="K2" i="20"/>
  <c r="K2" i="18"/>
  <c r="B2" i="13"/>
  <c r="B2" i="11"/>
  <c r="B2" i="21"/>
  <c r="B1" i="21"/>
  <c r="I2" i="20"/>
  <c r="E24" i="20" s="1"/>
  <c r="B2" i="20"/>
  <c r="B1" i="20"/>
  <c r="B2" i="19"/>
  <c r="B1" i="19"/>
  <c r="B8" i="18"/>
  <c r="B2" i="18"/>
  <c r="B1" i="18"/>
  <c r="B1" i="11"/>
  <c r="B3" i="13"/>
  <c r="F13" i="19"/>
  <c r="F16" i="19" s="1"/>
  <c r="F19" i="19" s="1"/>
  <c r="F22" i="19" s="1"/>
  <c r="E27" i="19" s="1"/>
  <c r="S57" i="3"/>
  <c r="S45" i="3"/>
  <c r="S25" i="3"/>
  <c r="K5" i="3"/>
  <c r="K4" i="3"/>
  <c r="K3" i="3"/>
  <c r="X41" i="3"/>
  <c r="X37" i="3"/>
  <c r="S10" i="3"/>
  <c r="X15" i="3"/>
  <c r="E29" i="46"/>
  <c r="E89" i="29" s="1"/>
  <c r="B5" i="18"/>
  <c r="X16" i="3"/>
  <c r="X32" i="3"/>
  <c r="X12" i="3"/>
  <c r="X24" i="3"/>
  <c r="D29" i="46"/>
  <c r="D89" i="29"/>
  <c r="D25" i="46"/>
  <c r="E32" i="46" s="1"/>
  <c r="E29" i="42"/>
  <c r="E41" i="29" s="1"/>
  <c r="C22" i="26"/>
  <c r="C23" i="26" s="1"/>
  <c r="C24" i="26" s="1"/>
  <c r="C25" i="26" s="1"/>
  <c r="C26" i="26" s="1"/>
  <c r="C27" i="26" s="1"/>
  <c r="C28" i="26" s="1"/>
  <c r="C29" i="26" s="1"/>
  <c r="C30" i="26" s="1"/>
  <c r="C31" i="26" s="1"/>
  <c r="C32" i="26" s="1"/>
  <c r="C33" i="26" s="1"/>
  <c r="C34" i="26" s="1"/>
  <c r="C35" i="26" s="1"/>
  <c r="C36" i="26" s="1"/>
  <c r="D13" i="45"/>
  <c r="E11" i="26"/>
  <c r="E29" i="45"/>
  <c r="D25" i="43"/>
  <c r="D29" i="45"/>
  <c r="D17" i="20"/>
  <c r="G17" i="20" s="1"/>
  <c r="C17" i="20"/>
  <c r="B7" i="18"/>
  <c r="B6" i="18"/>
  <c r="D36" i="1"/>
  <c r="D34" i="1"/>
  <c r="D35" i="1"/>
  <c r="B3" i="21"/>
  <c r="B4" i="21"/>
  <c r="M3" i="3"/>
  <c r="L22" i="3"/>
  <c r="L11" i="3"/>
  <c r="M11" i="3"/>
  <c r="N11" i="3"/>
  <c r="L15" i="3"/>
  <c r="M26" i="3"/>
  <c r="L26" i="3"/>
  <c r="O26" i="3"/>
  <c r="L32" i="3"/>
  <c r="M32" i="3"/>
  <c r="L46" i="3"/>
  <c r="N46" i="3"/>
  <c r="O46" i="3"/>
  <c r="X46" i="3"/>
  <c r="M57" i="3"/>
  <c r="L57" i="3"/>
  <c r="L40" i="3"/>
  <c r="M19" i="3"/>
  <c r="M43" i="3"/>
  <c r="L25" i="3"/>
  <c r="O25" i="3" s="1"/>
  <c r="L41" i="3"/>
  <c r="N41" i="3" s="1"/>
  <c r="P41" i="3" s="1"/>
  <c r="U41" i="3" s="1"/>
  <c r="O41" i="3"/>
  <c r="L62" i="3"/>
  <c r="O62" i="3"/>
  <c r="M39" i="3"/>
  <c r="M35" i="3"/>
  <c r="D19" i="1"/>
  <c r="B5" i="43" s="1"/>
  <c r="L16" i="3"/>
  <c r="L21" i="3"/>
  <c r="O21" i="3" s="1"/>
  <c r="N27" i="3"/>
  <c r="C41" i="30"/>
  <c r="O11" i="3"/>
  <c r="O27" i="3"/>
  <c r="O34" i="3"/>
  <c r="L12" i="3"/>
  <c r="O12" i="3" s="1"/>
  <c r="M24" i="3"/>
  <c r="L23" i="3"/>
  <c r="O23" i="3"/>
  <c r="M28" i="3"/>
  <c r="L36" i="3"/>
  <c r="M38" i="3"/>
  <c r="N23" i="3"/>
  <c r="O36" i="3"/>
  <c r="C6" i="38"/>
  <c r="X60" i="3"/>
  <c r="M58" i="3"/>
  <c r="M48" i="3"/>
  <c r="X48" i="3"/>
  <c r="M53" i="3"/>
  <c r="M49" i="3"/>
  <c r="N49" i="3" s="1"/>
  <c r="P49" i="3" s="1"/>
  <c r="X49" i="3"/>
  <c r="C4" i="38"/>
  <c r="M45" i="3"/>
  <c r="X43" i="3"/>
  <c r="E30" i="46"/>
  <c r="E90" i="29" s="1"/>
  <c r="M22" i="3"/>
  <c r="X22" i="3"/>
  <c r="E9" i="30"/>
  <c r="E10" i="30"/>
  <c r="M50" i="3"/>
  <c r="N50" i="3" s="1"/>
  <c r="P50" i="3" s="1"/>
  <c r="U50" i="3" s="1"/>
  <c r="X50" i="3"/>
  <c r="O39" i="3"/>
  <c r="P39" i="3" s="1"/>
  <c r="U39" i="3" s="1"/>
  <c r="X39" i="3"/>
  <c r="D25" i="42"/>
  <c r="E31" i="42" s="1"/>
  <c r="C29" i="46"/>
  <c r="C89" i="29" s="1"/>
  <c r="M21" i="3"/>
  <c r="N21" i="3"/>
  <c r="P21" i="3" s="1"/>
  <c r="U21" i="3" s="1"/>
  <c r="X21" i="3"/>
  <c r="X27" i="3"/>
  <c r="M52" i="3"/>
  <c r="M56" i="3"/>
  <c r="N56" i="3"/>
  <c r="P56" i="3" s="1"/>
  <c r="U56" i="3" s="1"/>
  <c r="X56" i="3"/>
  <c r="D18" i="18"/>
  <c r="G18" i="18"/>
  <c r="B3" i="19"/>
  <c r="B6" i="11"/>
  <c r="B3" i="11"/>
  <c r="B4" i="11"/>
  <c r="K1" i="11"/>
  <c r="D13" i="11" s="1"/>
  <c r="B5" i="11"/>
  <c r="B7" i="19"/>
  <c r="B4" i="19"/>
  <c r="C14" i="27"/>
  <c r="C15" i="27" s="1"/>
  <c r="C16" i="27" s="1"/>
  <c r="C17" i="27" s="1"/>
  <c r="C18" i="27" s="1"/>
  <c r="C19" i="27" s="1"/>
  <c r="C20" i="27" s="1"/>
  <c r="C21" i="27" s="1"/>
  <c r="C22" i="27" s="1"/>
  <c r="C23" i="27" s="1"/>
  <c r="C24" i="27" s="1"/>
  <c r="C25" i="27" s="1"/>
  <c r="C26" i="27" s="1"/>
  <c r="C27" i="27" s="1"/>
  <c r="C28" i="27" s="1"/>
  <c r="C29" i="27" s="1"/>
  <c r="C30" i="27" s="1"/>
  <c r="C31" i="27" s="1"/>
  <c r="C32" i="27" s="1"/>
  <c r="C33" i="27" s="1"/>
  <c r="C34" i="27" s="1"/>
  <c r="C35" i="27" s="1"/>
  <c r="C36" i="27" s="1"/>
  <c r="C37" i="27" s="1"/>
  <c r="C38" i="27" s="1"/>
  <c r="C39" i="27" s="1"/>
  <c r="C40" i="27" s="1"/>
  <c r="C41" i="27" s="1"/>
  <c r="C42" i="27" s="1"/>
  <c r="C43" i="27" s="1"/>
  <c r="C44" i="27" s="1"/>
  <c r="C45" i="27" s="1"/>
  <c r="C46" i="27" s="1"/>
  <c r="C47" i="27" s="1"/>
  <c r="C48" i="27" s="1"/>
  <c r="C49" i="27" s="1"/>
  <c r="C50" i="27" s="1"/>
  <c r="C51" i="27" s="1"/>
  <c r="C52" i="27" s="1"/>
  <c r="C53" i="27" s="1"/>
  <c r="C54" i="27" s="1"/>
  <c r="C55" i="27" s="1"/>
  <c r="C56" i="27" s="1"/>
  <c r="C57" i="27" s="1"/>
  <c r="C58" i="27" s="1"/>
  <c r="C59" i="27" s="1"/>
  <c r="C60" i="27" s="1"/>
  <c r="C12" i="27"/>
  <c r="E11" i="27"/>
  <c r="E10" i="23"/>
  <c r="E13" i="23" s="1"/>
  <c r="D25" i="44"/>
  <c r="E29" i="44"/>
  <c r="E30" i="44" s="1"/>
  <c r="E66" i="29" s="1"/>
  <c r="D13" i="44"/>
  <c r="D29" i="44"/>
  <c r="F13" i="20"/>
  <c r="F15" i="20" s="1"/>
  <c r="F18" i="20" s="1"/>
  <c r="F21" i="20" s="1"/>
  <c r="E27" i="20" s="1"/>
  <c r="E10" i="25"/>
  <c r="L51" i="3"/>
  <c r="O51" i="3"/>
  <c r="M47" i="3"/>
  <c r="N47" i="3" s="1"/>
  <c r="P47" i="3" s="1"/>
  <c r="U47" i="3" s="1"/>
  <c r="N48" i="3"/>
  <c r="P48" i="3" s="1"/>
  <c r="U48" i="3" s="1"/>
  <c r="O49" i="3"/>
  <c r="U49" i="3"/>
  <c r="X47" i="3"/>
  <c r="M51" i="3"/>
  <c r="N51" i="3"/>
  <c r="L54" i="3"/>
  <c r="O54" i="3"/>
  <c r="L55" i="3"/>
  <c r="L59" i="3"/>
  <c r="N59" i="3" s="1"/>
  <c r="P59" i="3" s="1"/>
  <c r="U59" i="3" s="1"/>
  <c r="X59" i="3"/>
  <c r="E30" i="42"/>
  <c r="N39" i="3"/>
  <c r="C50" i="30"/>
  <c r="B7" i="20"/>
  <c r="K1" i="20"/>
  <c r="D13" i="20"/>
  <c r="D15" i="20" s="1"/>
  <c r="B4" i="20"/>
  <c r="E31" i="44"/>
  <c r="F13" i="18"/>
  <c r="D25" i="18"/>
  <c r="E25" i="18"/>
  <c r="G14" i="18"/>
  <c r="M10" i="3"/>
  <c r="X10" i="3"/>
  <c r="L10" i="3"/>
  <c r="M14" i="3"/>
  <c r="X14" i="3"/>
  <c r="L14" i="3"/>
  <c r="N14" i="3" s="1"/>
  <c r="O14" i="3"/>
  <c r="M20" i="3"/>
  <c r="N24" i="3"/>
  <c r="O24" i="3"/>
  <c r="P24" i="3"/>
  <c r="M31" i="3"/>
  <c r="L31" i="3"/>
  <c r="N31" i="3" s="1"/>
  <c r="P31" i="3" s="1"/>
  <c r="X31" i="3"/>
  <c r="O29" i="3"/>
  <c r="D77" i="29"/>
  <c r="B5" i="19"/>
  <c r="K1" i="19"/>
  <c r="D13" i="19"/>
  <c r="G13" i="19" s="1"/>
  <c r="B6" i="19"/>
  <c r="N15" i="3"/>
  <c r="P15" i="3" s="1"/>
  <c r="U15" i="3" s="1"/>
  <c r="E27" i="30"/>
  <c r="E28" i="30"/>
  <c r="D13" i="13"/>
  <c r="D29" i="13"/>
  <c r="E29" i="13"/>
  <c r="M25" i="3"/>
  <c r="N25" i="3" s="1"/>
  <c r="P25" i="3" s="1"/>
  <c r="U25" i="3" s="1"/>
  <c r="X25" i="3"/>
  <c r="N12" i="3"/>
  <c r="P12" i="3" s="1"/>
  <c r="U12" i="3" s="1"/>
  <c r="O15" i="3"/>
  <c r="O32" i="3"/>
  <c r="D25" i="13"/>
  <c r="E31" i="13" s="1"/>
  <c r="E32" i="29" s="1"/>
  <c r="M29" i="3"/>
  <c r="N29" i="3"/>
  <c r="P29" i="3"/>
  <c r="U29" i="3" s="1"/>
  <c r="X29" i="3"/>
  <c r="E18" i="30"/>
  <c r="E19" i="30" s="1"/>
  <c r="N43" i="3"/>
  <c r="P43" i="3" s="1"/>
  <c r="U43" i="3" s="1"/>
  <c r="E10" i="24"/>
  <c r="L42" i="3"/>
  <c r="O42" i="3" s="1"/>
  <c r="L53" i="3"/>
  <c r="N53" i="3" s="1"/>
  <c r="X53" i="3"/>
  <c r="C5" i="38"/>
  <c r="S11" i="3"/>
  <c r="E32" i="44"/>
  <c r="O10" i="3"/>
  <c r="F16" i="18"/>
  <c r="F19" i="18" s="1"/>
  <c r="F22" i="18" s="1"/>
  <c r="D30" i="29"/>
  <c r="O31" i="3"/>
  <c r="U31" i="3"/>
  <c r="O59" i="3"/>
  <c r="O55" i="3"/>
  <c r="P14" i="3"/>
  <c r="U14" i="3" s="1"/>
  <c r="G13" i="20"/>
  <c r="D24" i="20"/>
  <c r="D25" i="11"/>
  <c r="C25" i="11"/>
  <c r="K1" i="21"/>
  <c r="D12" i="21"/>
  <c r="F13" i="11"/>
  <c r="F16" i="11" s="1"/>
  <c r="E27" i="11" s="1"/>
  <c r="C29" i="42"/>
  <c r="C41" i="29" s="1"/>
  <c r="D41" i="29"/>
  <c r="D18" i="19"/>
  <c r="G18" i="19"/>
  <c r="D13" i="42"/>
  <c r="B5" i="21"/>
  <c r="B7" i="21"/>
  <c r="D29" i="43"/>
  <c r="E29" i="43"/>
  <c r="E53" i="29" s="1"/>
  <c r="D16" i="21"/>
  <c r="G16" i="21"/>
  <c r="D15" i="19"/>
  <c r="G15" i="19" s="1"/>
  <c r="E31" i="43"/>
  <c r="E32" i="43"/>
  <c r="E33" i="43" s="1"/>
  <c r="E34" i="43" s="1"/>
  <c r="E35" i="43" s="1"/>
  <c r="E18" i="11"/>
  <c r="G18" i="11" s="1"/>
  <c r="E33" i="44"/>
  <c r="E34" i="44" s="1"/>
  <c r="E35" i="44" s="1"/>
  <c r="E30" i="29"/>
  <c r="C29" i="13"/>
  <c r="C30" i="29" s="1"/>
  <c r="O53" i="3"/>
  <c r="E30" i="13"/>
  <c r="E31" i="29" s="1"/>
  <c r="E67" i="29"/>
  <c r="E42" i="29"/>
  <c r="E25" i="20"/>
  <c r="E26" i="20" s="1"/>
  <c r="E28" i="20"/>
  <c r="E29" i="20" s="1"/>
  <c r="E30" i="20" s="1"/>
  <c r="E31" i="20" s="1"/>
  <c r="E32" i="20" s="1"/>
  <c r="E33" i="20"/>
  <c r="E34" i="20" s="1"/>
  <c r="E35" i="20" s="1"/>
  <c r="E36" i="20" s="1"/>
  <c r="E37" i="20" s="1"/>
  <c r="E38" i="20" s="1"/>
  <c r="E39" i="20" s="1"/>
  <c r="E40" i="20" s="1"/>
  <c r="E41" i="20" s="1"/>
  <c r="E42" i="20" s="1"/>
  <c r="E43" i="20" s="1"/>
  <c r="E44" i="20" s="1"/>
  <c r="E45" i="20" s="1"/>
  <c r="E46" i="20" s="1"/>
  <c r="E47" i="20" s="1"/>
  <c r="E48" i="20" s="1"/>
  <c r="E49" i="20" s="1"/>
  <c r="E50" i="20" s="1"/>
  <c r="E51" i="20" s="1"/>
  <c r="E52" i="20" s="1"/>
  <c r="E53" i="20" s="1"/>
  <c r="E54" i="20" s="1"/>
  <c r="E55" i="20" s="1"/>
  <c r="E56" i="20" s="1"/>
  <c r="E57" i="20" s="1"/>
  <c r="E58" i="20" s="1"/>
  <c r="E59" i="20" s="1"/>
  <c r="E60" i="20" s="1"/>
  <c r="E61" i="20" s="1"/>
  <c r="E62" i="20" s="1"/>
  <c r="E63" i="20" s="1"/>
  <c r="E64" i="20" s="1"/>
  <c r="E65" i="20" s="1"/>
  <c r="E66" i="20" s="1"/>
  <c r="E67" i="20" s="1"/>
  <c r="E68" i="20" s="1"/>
  <c r="E69" i="20" s="1"/>
  <c r="E70" i="20" s="1"/>
  <c r="E71" i="20" s="1"/>
  <c r="E72" i="20" s="1"/>
  <c r="E73" i="20" s="1"/>
  <c r="E74" i="20" s="1"/>
  <c r="E75" i="20" s="1"/>
  <c r="E76" i="20" s="1"/>
  <c r="E77" i="20" s="1"/>
  <c r="E78" i="20" s="1"/>
  <c r="E79" i="20" s="1"/>
  <c r="E80" i="20" s="1"/>
  <c r="E81" i="20" s="1"/>
  <c r="E82" i="20" s="1"/>
  <c r="E83" i="20" s="1"/>
  <c r="E84" i="20" s="1"/>
  <c r="E85" i="20" s="1"/>
  <c r="E86" i="20" s="1"/>
  <c r="C24" i="20"/>
  <c r="N32" i="3"/>
  <c r="P32" i="3" s="1"/>
  <c r="U32" i="3"/>
  <c r="N26" i="3"/>
  <c r="P26" i="3"/>
  <c r="U26" i="3"/>
  <c r="L19" i="3"/>
  <c r="L33" i="3"/>
  <c r="N33" i="3" s="1"/>
  <c r="X33" i="3"/>
  <c r="M33" i="3"/>
  <c r="L44" i="3"/>
  <c r="O44" i="3" s="1"/>
  <c r="M44" i="3"/>
  <c r="M30" i="3"/>
  <c r="L30" i="3"/>
  <c r="X35" i="3"/>
  <c r="L35" i="3"/>
  <c r="E30" i="45"/>
  <c r="E78" i="29"/>
  <c r="O57" i="3"/>
  <c r="N57" i="3"/>
  <c r="P57" i="3" s="1"/>
  <c r="U57" i="3" s="1"/>
  <c r="N28" i="3"/>
  <c r="P28" i="3" s="1"/>
  <c r="U28" i="3"/>
  <c r="M36" i="3"/>
  <c r="N36" i="3" s="1"/>
  <c r="X36" i="3"/>
  <c r="C7" i="38"/>
  <c r="C3" i="38"/>
  <c r="X54" i="3"/>
  <c r="M54" i="3"/>
  <c r="N54" i="3"/>
  <c r="P54" i="3" s="1"/>
  <c r="U54" i="3" s="1"/>
  <c r="P36" i="3"/>
  <c r="U36" i="3" s="1"/>
  <c r="M42" i="3"/>
  <c r="N42" i="3"/>
  <c r="P42" i="3" s="1"/>
  <c r="U42" i="3" s="1"/>
  <c r="X42" i="3"/>
  <c r="D53" i="29"/>
  <c r="C29" i="43"/>
  <c r="C53" i="29" s="1"/>
  <c r="E30" i="43"/>
  <c r="N35" i="3"/>
  <c r="P35" i="3" s="1"/>
  <c r="U35" i="3" s="1"/>
  <c r="O35" i="3"/>
  <c r="O33" i="3"/>
  <c r="P33" i="3" s="1"/>
  <c r="U33" i="3" s="1"/>
  <c r="E31" i="45"/>
  <c r="E32" i="45" s="1"/>
  <c r="O19" i="3"/>
  <c r="N19" i="3"/>
  <c r="P19" i="3"/>
  <c r="U19" i="3" s="1"/>
  <c r="E32" i="13"/>
  <c r="E54" i="29"/>
  <c r="E33" i="13"/>
  <c r="E33" i="45"/>
  <c r="E34" i="45"/>
  <c r="E36" i="45"/>
  <c r="E37" i="45"/>
  <c r="E38" i="45"/>
  <c r="E39" i="45" s="1"/>
  <c r="E40" i="45" s="1"/>
  <c r="E41" i="45" s="1"/>
  <c r="E42" i="45"/>
  <c r="E43" i="45" s="1"/>
  <c r="E44" i="45" s="1"/>
  <c r="E45" i="45" s="1"/>
  <c r="E46" i="45" s="1"/>
  <c r="E47" i="45" s="1"/>
  <c r="E48" i="45" s="1"/>
  <c r="E49" i="45" s="1"/>
  <c r="E50" i="45" s="1"/>
  <c r="E51" i="45" s="1"/>
  <c r="E52" i="45" s="1"/>
  <c r="E53" i="45" s="1"/>
  <c r="E54" i="45" s="1"/>
  <c r="E55" i="45"/>
  <c r="E56" i="45" s="1"/>
  <c r="E57" i="45" s="1"/>
  <c r="E58" i="45" s="1"/>
  <c r="E59" i="45" s="1"/>
  <c r="E60" i="45" s="1"/>
  <c r="E61" i="45" s="1"/>
  <c r="E62" i="45" s="1"/>
  <c r="E63" i="45" s="1"/>
  <c r="E64" i="45" s="1"/>
  <c r="E65" i="45" s="1"/>
  <c r="E66" i="45" s="1"/>
  <c r="E67" i="45" s="1"/>
  <c r="E68" i="45" s="1"/>
  <c r="E69" i="45" s="1"/>
  <c r="E70" i="45" s="1"/>
  <c r="E71" i="45" s="1"/>
  <c r="E72" i="45" s="1"/>
  <c r="E73" i="45" s="1"/>
  <c r="E74" i="45" s="1"/>
  <c r="E75" i="45" s="1"/>
  <c r="E76" i="45" s="1"/>
  <c r="E77" i="45" s="1"/>
  <c r="E78" i="45" s="1"/>
  <c r="E79" i="45" s="1"/>
  <c r="E80" i="45" s="1"/>
  <c r="E81" i="45" s="1"/>
  <c r="E82" i="45" s="1"/>
  <c r="E83" i="45" s="1"/>
  <c r="E84" i="45" s="1"/>
  <c r="E85" i="45" s="1"/>
  <c r="E86" i="45" s="1"/>
  <c r="E87" i="45" s="1"/>
  <c r="E88" i="45" s="1"/>
  <c r="E89" i="45" s="1"/>
  <c r="C14" i="43"/>
  <c r="M18" i="3"/>
  <c r="L18" i="3"/>
  <c r="O18" i="3"/>
  <c r="H7" i="3"/>
  <c r="N18" i="3"/>
  <c r="P18" i="3"/>
  <c r="U18" i="3" s="1"/>
  <c r="X17" i="3"/>
  <c r="L17" i="3"/>
  <c r="O17" i="3" s="1"/>
  <c r="E34" i="13"/>
  <c r="E35" i="13"/>
  <c r="E36" i="13" s="1"/>
  <c r="E37" i="13" s="1"/>
  <c r="E38" i="13" s="1"/>
  <c r="E39" i="13" s="1"/>
  <c r="E40" i="13" s="1"/>
  <c r="E41" i="13" s="1"/>
  <c r="E42" i="13" s="1"/>
  <c r="E43" i="13"/>
  <c r="E44" i="13" s="1"/>
  <c r="E45" i="13" s="1"/>
  <c r="E46" i="13"/>
  <c r="E47" i="13" s="1"/>
  <c r="E48" i="13" s="1"/>
  <c r="E49" i="13" s="1"/>
  <c r="E50" i="13" s="1"/>
  <c r="E51" i="13" s="1"/>
  <c r="E52" i="13" s="1"/>
  <c r="E53" i="13" s="1"/>
  <c r="E54" i="13"/>
  <c r="E55" i="13" s="1"/>
  <c r="E56" i="13" s="1"/>
  <c r="E57" i="13" s="1"/>
  <c r="E58" i="13" s="1"/>
  <c r="E59" i="13" s="1"/>
  <c r="E60" i="13" s="1"/>
  <c r="E61" i="13" s="1"/>
  <c r="E62" i="13" s="1"/>
  <c r="E63" i="13" s="1"/>
  <c r="E64" i="13" s="1"/>
  <c r="E65" i="13" s="1"/>
  <c r="E66" i="13" s="1"/>
  <c r="E67" i="13" s="1"/>
  <c r="E68" i="13" s="1"/>
  <c r="E69" i="13" s="1"/>
  <c r="E70" i="13" s="1"/>
  <c r="E71" i="13" s="1"/>
  <c r="E72" i="13" s="1"/>
  <c r="E73" i="13" s="1"/>
  <c r="E74" i="13" s="1"/>
  <c r="E75" i="13" s="1"/>
  <c r="E76" i="13" s="1"/>
  <c r="E77" i="13" s="1"/>
  <c r="E78" i="13" s="1"/>
  <c r="E79" i="13" s="1"/>
  <c r="E80" i="13" s="1"/>
  <c r="E81" i="13" s="1"/>
  <c r="E82" i="13" s="1"/>
  <c r="E83" i="13" s="1"/>
  <c r="E84" i="13" s="1"/>
  <c r="E85" i="13" s="1"/>
  <c r="E86" i="13" s="1"/>
  <c r="E87" i="13" s="1"/>
  <c r="E88" i="13" s="1"/>
  <c r="E89" i="13" s="1"/>
  <c r="F19" i="11"/>
  <c r="F22" i="11"/>
  <c r="E26" i="11" s="1"/>
  <c r="P53" i="3"/>
  <c r="U53" i="3" s="1"/>
  <c r="D14" i="21"/>
  <c r="E30" i="18"/>
  <c r="E27" i="18"/>
  <c r="E28" i="18"/>
  <c r="E29" i="18"/>
  <c r="E65" i="29"/>
  <c r="E31" i="46"/>
  <c r="E91" i="29" s="1"/>
  <c r="P27" i="3"/>
  <c r="U27" i="3"/>
  <c r="N22" i="3"/>
  <c r="P22" i="3" s="1"/>
  <c r="U22" i="3"/>
  <c r="O22" i="3"/>
  <c r="E77" i="29"/>
  <c r="C29" i="45"/>
  <c r="C77" i="29" s="1"/>
  <c r="C40" i="30"/>
  <c r="E12" i="26"/>
  <c r="E13" i="26" s="1"/>
  <c r="E14" i="26"/>
  <c r="E15" i="26" s="1"/>
  <c r="E16" i="26" s="1"/>
  <c r="E17" i="26" s="1"/>
  <c r="E18" i="26" s="1"/>
  <c r="E19" i="26"/>
  <c r="E20" i="26"/>
  <c r="E21" i="26" s="1"/>
  <c r="E22" i="26" s="1"/>
  <c r="E23" i="26" s="1"/>
  <c r="E24" i="26" s="1"/>
  <c r="E25" i="26" s="1"/>
  <c r="E26" i="26" s="1"/>
  <c r="E27" i="26" s="1"/>
  <c r="E28" i="26" s="1"/>
  <c r="E29" i="26" s="1"/>
  <c r="E30" i="26" s="1"/>
  <c r="E31" i="26" s="1"/>
  <c r="E32" i="26" s="1"/>
  <c r="E33" i="26" s="1"/>
  <c r="E34" i="26" s="1"/>
  <c r="E35" i="26" s="1"/>
  <c r="E36" i="26" s="1"/>
  <c r="C14" i="23"/>
  <c r="P51" i="3"/>
  <c r="U51" i="3"/>
  <c r="D65" i="29"/>
  <c r="C29" i="44"/>
  <c r="C65" i="29" s="1"/>
  <c r="P11" i="3"/>
  <c r="U11" i="3"/>
  <c r="C13" i="27"/>
  <c r="E12" i="27"/>
  <c r="E13" i="27"/>
  <c r="E14" i="27"/>
  <c r="E15" i="27"/>
  <c r="E16" i="27" s="1"/>
  <c r="E17" i="27" s="1"/>
  <c r="E18" i="27" s="1"/>
  <c r="E19" i="27" s="1"/>
  <c r="E20" i="27" s="1"/>
  <c r="E21" i="27" s="1"/>
  <c r="E22" i="27" s="1"/>
  <c r="E23" i="27" s="1"/>
  <c r="E24" i="27" s="1"/>
  <c r="E25" i="27" s="1"/>
  <c r="E26" i="27" s="1"/>
  <c r="E27" i="27" s="1"/>
  <c r="E28" i="27" s="1"/>
  <c r="E29" i="27" s="1"/>
  <c r="E30" i="27" s="1"/>
  <c r="E31" i="27" s="1"/>
  <c r="E32" i="27" s="1"/>
  <c r="E33" i="27" s="1"/>
  <c r="E34" i="27" s="1"/>
  <c r="E35" i="27" s="1"/>
  <c r="E36" i="27" s="1"/>
  <c r="E37" i="27" s="1"/>
  <c r="E38" i="27" s="1"/>
  <c r="E39" i="27" s="1"/>
  <c r="E40" i="27" s="1"/>
  <c r="E41" i="27" s="1"/>
  <c r="E42" i="27" s="1"/>
  <c r="E43" i="27" s="1"/>
  <c r="E44" i="27" s="1"/>
  <c r="E45" i="27" s="1"/>
  <c r="E46" i="27" s="1"/>
  <c r="E47" i="27" s="1"/>
  <c r="E48" i="27" s="1"/>
  <c r="E49" i="27" s="1"/>
  <c r="E50" i="27" s="1"/>
  <c r="E51" i="27" s="1"/>
  <c r="E52" i="27" s="1"/>
  <c r="E53" i="27" s="1"/>
  <c r="E54" i="27" s="1"/>
  <c r="E55" i="27" s="1"/>
  <c r="E56" i="27" s="1"/>
  <c r="E57" i="27" s="1"/>
  <c r="E58" i="27" s="1"/>
  <c r="E59" i="27" s="1"/>
  <c r="E60" i="27" s="1"/>
  <c r="C49" i="30"/>
  <c r="N16" i="3"/>
  <c r="P16" i="3"/>
  <c r="U16" i="3" s="1"/>
  <c r="O16" i="3"/>
  <c r="O40" i="3"/>
  <c r="B6" i="20"/>
  <c r="B5" i="20"/>
  <c r="P23" i="3"/>
  <c r="U23" i="3"/>
  <c r="P46" i="3"/>
  <c r="U46" i="3" s="1"/>
  <c r="B7" i="11"/>
  <c r="B3" i="20"/>
  <c r="B3" i="18"/>
  <c r="X40" i="3"/>
  <c r="M40" i="3"/>
  <c r="N40" i="3" s="1"/>
  <c r="P40" i="3" s="1"/>
  <c r="U40" i="3" s="1"/>
  <c r="X18" i="3"/>
  <c r="N34" i="3"/>
  <c r="P34" i="3"/>
  <c r="U34" i="3" s="1"/>
  <c r="L38" i="3"/>
  <c r="O38" i="3" s="1"/>
  <c r="X38" i="3"/>
  <c r="L60" i="3"/>
  <c r="N17" i="3"/>
  <c r="P17" i="3"/>
  <c r="U17" i="3" s="1"/>
  <c r="D21" i="1"/>
  <c r="N38" i="3"/>
  <c r="P38" i="3" s="1"/>
  <c r="U38" i="3" s="1"/>
  <c r="C13" i="30"/>
  <c r="E14" i="23"/>
  <c r="G14" i="21"/>
  <c r="E15" i="21"/>
  <c r="O60" i="3"/>
  <c r="N60" i="3"/>
  <c r="D17" i="21"/>
  <c r="G17" i="21" s="1"/>
  <c r="G15" i="21"/>
  <c r="D19" i="21"/>
  <c r="D20" i="21"/>
  <c r="G20" i="21"/>
  <c r="D18" i="21"/>
  <c r="G18" i="21" s="1"/>
  <c r="D25" i="21"/>
  <c r="C25" i="21"/>
  <c r="E12" i="29"/>
  <c r="D14" i="46"/>
  <c r="D84" i="29" s="1"/>
  <c r="D14" i="42"/>
  <c r="D36" i="29" s="1"/>
  <c r="D14" i="44"/>
  <c r="D60" i="29" s="1"/>
  <c r="D14" i="13"/>
  <c r="D25" i="29" s="1"/>
  <c r="D14" i="43"/>
  <c r="D48" i="29" s="1"/>
  <c r="D14" i="45"/>
  <c r="D72" i="29" s="1"/>
  <c r="I1" i="13" l="1"/>
  <c r="K1" i="13" s="1"/>
  <c r="D12" i="13" s="1"/>
  <c r="D15" i="13" s="1"/>
  <c r="D26" i="29" s="1"/>
  <c r="I1" i="44"/>
  <c r="I10" i="44" s="1"/>
  <c r="I1" i="45"/>
  <c r="B6" i="13"/>
  <c r="B5" i="13"/>
  <c r="C61" i="27"/>
  <c r="E61" i="27" s="1"/>
  <c r="F144" i="21"/>
  <c r="G19" i="21"/>
  <c r="E90" i="45"/>
  <c r="O30" i="3"/>
  <c r="N30" i="3"/>
  <c r="E36" i="43"/>
  <c r="E90" i="13"/>
  <c r="E13" i="25"/>
  <c r="C15" i="25"/>
  <c r="C14" i="25"/>
  <c r="C31" i="30" s="1"/>
  <c r="P60" i="3"/>
  <c r="U60" i="3" s="1"/>
  <c r="E36" i="44"/>
  <c r="C25" i="18"/>
  <c r="E26" i="18"/>
  <c r="M13" i="3"/>
  <c r="X13" i="3"/>
  <c r="L13" i="3"/>
  <c r="X20" i="3"/>
  <c r="L20" i="3"/>
  <c r="D26" i="21"/>
  <c r="N44" i="3"/>
  <c r="P44" i="3" s="1"/>
  <c r="U44" i="3" s="1"/>
  <c r="D15" i="11"/>
  <c r="G15" i="11" s="1"/>
  <c r="G13" i="11"/>
  <c r="E43" i="29"/>
  <c r="E32" i="42"/>
  <c r="E33" i="42" s="1"/>
  <c r="E34" i="42" s="1"/>
  <c r="E35" i="42" s="1"/>
  <c r="E36" i="42" s="1"/>
  <c r="E37" i="42" s="1"/>
  <c r="E38" i="42" s="1"/>
  <c r="E39" i="42" s="1"/>
  <c r="E40" i="42" s="1"/>
  <c r="E41" i="42" s="1"/>
  <c r="E42" i="42" s="1"/>
  <c r="E43" i="42" s="1"/>
  <c r="E44" i="42" s="1"/>
  <c r="E45" i="42" s="1"/>
  <c r="E46" i="42" s="1"/>
  <c r="E47" i="42" s="1"/>
  <c r="E48" i="42" s="1"/>
  <c r="E49" i="42" s="1"/>
  <c r="E50" i="42" s="1"/>
  <c r="E51" i="42" s="1"/>
  <c r="E52" i="42" s="1"/>
  <c r="E53" i="42" s="1"/>
  <c r="E54" i="42" s="1"/>
  <c r="E55" i="42" s="1"/>
  <c r="E56" i="42" s="1"/>
  <c r="E57" i="42" s="1"/>
  <c r="E58" i="42" s="1"/>
  <c r="E59" i="42" s="1"/>
  <c r="E60" i="42" s="1"/>
  <c r="E61" i="42" s="1"/>
  <c r="E62" i="42" s="1"/>
  <c r="E63" i="42" s="1"/>
  <c r="E64" i="42" s="1"/>
  <c r="E65" i="42" s="1"/>
  <c r="E66" i="42" s="1"/>
  <c r="E67" i="42" s="1"/>
  <c r="E68" i="42" s="1"/>
  <c r="E69" i="42" s="1"/>
  <c r="E70" i="42" s="1"/>
  <c r="E71" i="42" s="1"/>
  <c r="E72" i="42" s="1"/>
  <c r="E73" i="42" s="1"/>
  <c r="E74" i="42" s="1"/>
  <c r="E75" i="42" s="1"/>
  <c r="E76" i="42" s="1"/>
  <c r="E77" i="42" s="1"/>
  <c r="E78" i="42" s="1"/>
  <c r="E79" i="42" s="1"/>
  <c r="E80" i="42" s="1"/>
  <c r="E81" i="42" s="1"/>
  <c r="E82" i="42" s="1"/>
  <c r="E83" i="42" s="1"/>
  <c r="E84" i="42" s="1"/>
  <c r="E85" i="42" s="1"/>
  <c r="E86" i="42" s="1"/>
  <c r="E87" i="42" s="1"/>
  <c r="E88" i="42" s="1"/>
  <c r="E89" i="42" s="1"/>
  <c r="E26" i="19"/>
  <c r="N10" i="3"/>
  <c r="P10" i="3" s="1"/>
  <c r="U10" i="3" s="1"/>
  <c r="E28" i="19"/>
  <c r="E29" i="19" s="1"/>
  <c r="E30" i="19" s="1"/>
  <c r="E31" i="19" s="1"/>
  <c r="E32" i="19" s="1"/>
  <c r="E33" i="19" s="1"/>
  <c r="E34" i="19" s="1"/>
  <c r="E35" i="19" s="1"/>
  <c r="E36" i="19" s="1"/>
  <c r="E37" i="19" s="1"/>
  <c r="E38" i="19" s="1"/>
  <c r="E39" i="19" s="1"/>
  <c r="E40" i="19" s="1"/>
  <c r="E41" i="19" s="1"/>
  <c r="E42" i="19" s="1"/>
  <c r="E43" i="19" s="1"/>
  <c r="E44" i="19" s="1"/>
  <c r="E45" i="19" s="1"/>
  <c r="E46" i="19" s="1"/>
  <c r="E47" i="19" s="1"/>
  <c r="E48" i="19" s="1"/>
  <c r="E49" i="19" s="1"/>
  <c r="E50" i="19" s="1"/>
  <c r="E51" i="19" s="1"/>
  <c r="E13" i="24"/>
  <c r="C14" i="24"/>
  <c r="C22" i="30" s="1"/>
  <c r="G15" i="20"/>
  <c r="E16" i="20"/>
  <c r="E92" i="29"/>
  <c r="E33" i="46"/>
  <c r="E34" i="46" s="1"/>
  <c r="E35" i="46" s="1"/>
  <c r="E36" i="46" s="1"/>
  <c r="E37" i="46" s="1"/>
  <c r="E38" i="46" s="1"/>
  <c r="E39" i="46" s="1"/>
  <c r="E40" i="46" s="1"/>
  <c r="E41" i="46" s="1"/>
  <c r="E42" i="46" s="1"/>
  <c r="E43" i="46" s="1"/>
  <c r="E44" i="46" s="1"/>
  <c r="E45" i="46" s="1"/>
  <c r="E46" i="46" s="1"/>
  <c r="E47" i="46" s="1"/>
  <c r="E48" i="46" s="1"/>
  <c r="E49" i="46" s="1"/>
  <c r="E50" i="46" s="1"/>
  <c r="E51" i="46" s="1"/>
  <c r="E52" i="46" s="1"/>
  <c r="E53" i="46" s="1"/>
  <c r="E54" i="46" s="1"/>
  <c r="E55" i="46" s="1"/>
  <c r="E56" i="46" s="1"/>
  <c r="E57" i="46" s="1"/>
  <c r="E58" i="46" s="1"/>
  <c r="E59" i="46" s="1"/>
  <c r="E60" i="46" s="1"/>
  <c r="E61" i="46" s="1"/>
  <c r="E62" i="46" s="1"/>
  <c r="E63" i="46" s="1"/>
  <c r="E64" i="46" s="1"/>
  <c r="E65" i="46" s="1"/>
  <c r="E66" i="46" s="1"/>
  <c r="E67" i="46" s="1"/>
  <c r="E68" i="46" s="1"/>
  <c r="E69" i="46" s="1"/>
  <c r="E70" i="46" s="1"/>
  <c r="E71" i="46" s="1"/>
  <c r="E72" i="46" s="1"/>
  <c r="E73" i="46" s="1"/>
  <c r="E74" i="46" s="1"/>
  <c r="E75" i="46" s="1"/>
  <c r="E76" i="46" s="1"/>
  <c r="E77" i="46" s="1"/>
  <c r="E78" i="46" s="1"/>
  <c r="E79" i="46" s="1"/>
  <c r="E80" i="46" s="1"/>
  <c r="E81" i="46" s="1"/>
  <c r="E82" i="46" s="1"/>
  <c r="E83" i="46" s="1"/>
  <c r="E84" i="46" s="1"/>
  <c r="E85" i="46" s="1"/>
  <c r="E86" i="46" s="1"/>
  <c r="E87" i="46" s="1"/>
  <c r="E88" i="46" s="1"/>
  <c r="E89" i="46" s="1"/>
  <c r="E90" i="46" s="1"/>
  <c r="E91" i="46" s="1"/>
  <c r="E92" i="46" s="1"/>
  <c r="E93" i="46" s="1"/>
  <c r="E94" i="46" s="1"/>
  <c r="E95" i="46" s="1"/>
  <c r="E96" i="46" s="1"/>
  <c r="E97" i="46" s="1"/>
  <c r="E98" i="46" s="1"/>
  <c r="E99" i="46" s="1"/>
  <c r="E100" i="46" s="1"/>
  <c r="E101" i="46" s="1"/>
  <c r="E102" i="46" s="1"/>
  <c r="E103" i="46" s="1"/>
  <c r="E104" i="46" s="1"/>
  <c r="E105" i="46" s="1"/>
  <c r="E106" i="46" s="1"/>
  <c r="E107" i="46" s="1"/>
  <c r="E108" i="46" s="1"/>
  <c r="E109" i="46" s="1"/>
  <c r="E110" i="46" s="1"/>
  <c r="E111" i="46" s="1"/>
  <c r="E112" i="46" s="1"/>
  <c r="E113" i="46" s="1"/>
  <c r="E114" i="46" s="1"/>
  <c r="E115" i="46" s="1"/>
  <c r="E116" i="46" s="1"/>
  <c r="E117" i="46" s="1"/>
  <c r="E118" i="46" s="1"/>
  <c r="E119" i="46" s="1"/>
  <c r="E120" i="46" s="1"/>
  <c r="E121" i="46" s="1"/>
  <c r="E122" i="46" s="1"/>
  <c r="E123" i="46" s="1"/>
  <c r="E124" i="46" s="1"/>
  <c r="E125" i="46" s="1"/>
  <c r="E126" i="46" s="1"/>
  <c r="E127" i="46" s="1"/>
  <c r="E128" i="46" s="1"/>
  <c r="E129" i="46" s="1"/>
  <c r="E130" i="46" s="1"/>
  <c r="E131" i="46" s="1"/>
  <c r="E132" i="46" s="1"/>
  <c r="E133" i="46" s="1"/>
  <c r="E134" i="46" s="1"/>
  <c r="E135" i="46" s="1"/>
  <c r="E136" i="46" s="1"/>
  <c r="E137" i="46" s="1"/>
  <c r="E138" i="46" s="1"/>
  <c r="E139" i="46" s="1"/>
  <c r="E140" i="46" s="1"/>
  <c r="E141" i="46" s="1"/>
  <c r="E142" i="46" s="1"/>
  <c r="E143" i="46" s="1"/>
  <c r="E144" i="46" s="1"/>
  <c r="E145" i="46" s="1"/>
  <c r="E146" i="46" s="1"/>
  <c r="E147" i="46" s="1"/>
  <c r="E148" i="46" s="1"/>
  <c r="E149" i="46" s="1"/>
  <c r="M55" i="3"/>
  <c r="N55" i="3" s="1"/>
  <c r="P55" i="3" s="1"/>
  <c r="U55" i="3" s="1"/>
  <c r="D11" i="29"/>
  <c r="H11" i="29" s="1"/>
  <c r="E20" i="29"/>
  <c r="M62" i="3"/>
  <c r="N62" i="3" s="1"/>
  <c r="P62" i="3" s="1"/>
  <c r="U62" i="3" s="1"/>
  <c r="X62" i="3"/>
  <c r="D16" i="19"/>
  <c r="X61" i="3"/>
  <c r="X45" i="3"/>
  <c r="L45" i="3"/>
  <c r="K1" i="18"/>
  <c r="D13" i="18" s="1"/>
  <c r="B4" i="18"/>
  <c r="L52" i="3"/>
  <c r="X52" i="3"/>
  <c r="L58" i="3"/>
  <c r="X58" i="3"/>
  <c r="E23" i="21"/>
  <c r="F12" i="21"/>
  <c r="D23" i="21"/>
  <c r="L61" i="3"/>
  <c r="D25" i="19"/>
  <c r="C25" i="19" s="1"/>
  <c r="E25" i="19"/>
  <c r="B6" i="44"/>
  <c r="B6" i="42"/>
  <c r="L37" i="3"/>
  <c r="K1" i="29"/>
  <c r="I1" i="43"/>
  <c r="I1" i="42"/>
  <c r="B5" i="46"/>
  <c r="I1" i="46"/>
  <c r="B5" i="45"/>
  <c r="B5" i="44"/>
  <c r="B5" i="42"/>
  <c r="B5" i="29"/>
  <c r="B6" i="43"/>
  <c r="B6" i="46"/>
  <c r="B6" i="29"/>
  <c r="I7" i="13" l="1"/>
  <c r="K1" i="44"/>
  <c r="D12" i="44" s="1"/>
  <c r="I7" i="44"/>
  <c r="I10" i="13"/>
  <c r="D19" i="13"/>
  <c r="D20" i="13" s="1"/>
  <c r="D22" i="13" s="1"/>
  <c r="I7" i="45"/>
  <c r="I10" i="45"/>
  <c r="K1" i="45"/>
  <c r="D12" i="45" s="1"/>
  <c r="C23" i="21"/>
  <c r="G23" i="21" s="1"/>
  <c r="D24" i="21"/>
  <c r="C24" i="21" s="1"/>
  <c r="E14" i="24"/>
  <c r="C32" i="30"/>
  <c r="C16" i="25"/>
  <c r="C17" i="25" s="1"/>
  <c r="C18" i="25" s="1"/>
  <c r="C19" i="25" s="1"/>
  <c r="C20" i="25" s="1"/>
  <c r="C21" i="25" s="1"/>
  <c r="C22" i="25" s="1"/>
  <c r="C23" i="25" s="1"/>
  <c r="C24" i="25" s="1"/>
  <c r="C25" i="25" s="1"/>
  <c r="C26" i="25" s="1"/>
  <c r="F14" i="21"/>
  <c r="F17" i="21" s="1"/>
  <c r="F20" i="21" s="1"/>
  <c r="G12" i="21"/>
  <c r="O45" i="3"/>
  <c r="N45" i="3"/>
  <c r="D16" i="11"/>
  <c r="E14" i="25"/>
  <c r="E15" i="25" s="1"/>
  <c r="E16" i="25" s="1"/>
  <c r="E17" i="25" s="1"/>
  <c r="E18" i="25" s="1"/>
  <c r="E19" i="25" s="1"/>
  <c r="E20" i="25" s="1"/>
  <c r="E21" i="25" s="1"/>
  <c r="E22" i="25" s="1"/>
  <c r="E23" i="25" s="1"/>
  <c r="E24" i="25" s="1"/>
  <c r="E25" i="25" s="1"/>
  <c r="E26" i="25" s="1"/>
  <c r="O13" i="3"/>
  <c r="N13" i="3"/>
  <c r="P13" i="3" s="1"/>
  <c r="U13" i="3" s="1"/>
  <c r="O37" i="3"/>
  <c r="N37" i="3"/>
  <c r="P37" i="3" s="1"/>
  <c r="U37" i="3" s="1"/>
  <c r="O58" i="3"/>
  <c r="N58" i="3"/>
  <c r="N20" i="3"/>
  <c r="O20" i="3"/>
  <c r="E37" i="44"/>
  <c r="E38" i="44" s="1"/>
  <c r="E39" i="44" s="1"/>
  <c r="E40" i="44" s="1"/>
  <c r="E41" i="44" s="1"/>
  <c r="E42" i="44" s="1"/>
  <c r="E43" i="44" s="1"/>
  <c r="E44" i="44" s="1"/>
  <c r="E45" i="44" s="1"/>
  <c r="E46" i="44" s="1"/>
  <c r="E47" i="44" s="1"/>
  <c r="E48" i="44" s="1"/>
  <c r="E49" i="44" s="1"/>
  <c r="E50" i="44" s="1"/>
  <c r="E51" i="44" s="1"/>
  <c r="E52" i="44" s="1"/>
  <c r="E53" i="44" s="1"/>
  <c r="E54" i="44" s="1"/>
  <c r="E55" i="44" s="1"/>
  <c r="E56" i="44" s="1"/>
  <c r="E57" i="44" s="1"/>
  <c r="E58" i="44" s="1"/>
  <c r="E59" i="44" s="1"/>
  <c r="E60" i="44" s="1"/>
  <c r="E55" i="29"/>
  <c r="E37" i="43"/>
  <c r="O52" i="3"/>
  <c r="N52" i="3"/>
  <c r="O61" i="3"/>
  <c r="N61" i="3"/>
  <c r="P61" i="3" s="1"/>
  <c r="U61" i="3" s="1"/>
  <c r="G13" i="18"/>
  <c r="D16" i="18"/>
  <c r="D15" i="18"/>
  <c r="G15" i="18" s="1"/>
  <c r="C26" i="21"/>
  <c r="D27" i="21"/>
  <c r="G16" i="19"/>
  <c r="E17" i="19"/>
  <c r="G16" i="20"/>
  <c r="D18" i="20"/>
  <c r="E90" i="42"/>
  <c r="P30" i="3"/>
  <c r="U30" i="3" s="1"/>
  <c r="I7" i="43"/>
  <c r="K1" i="43"/>
  <c r="D12" i="43" s="1"/>
  <c r="I10" i="43"/>
  <c r="K1" i="46"/>
  <c r="D12" i="46" s="1"/>
  <c r="I7" i="46"/>
  <c r="I10" i="46"/>
  <c r="M1" i="29"/>
  <c r="D10" i="29" s="1"/>
  <c r="K7" i="29"/>
  <c r="K19" i="29"/>
  <c r="D15" i="44"/>
  <c r="D61" i="29" s="1"/>
  <c r="I10" i="42"/>
  <c r="I7" i="42"/>
  <c r="K1" i="42"/>
  <c r="D12" i="42" s="1"/>
  <c r="D15" i="45" l="1"/>
  <c r="D73" i="29" s="1"/>
  <c r="D19" i="45"/>
  <c r="D20" i="45" s="1"/>
  <c r="D22" i="45" s="1"/>
  <c r="D23" i="13"/>
  <c r="D24" i="13"/>
  <c r="D30" i="13"/>
  <c r="D31" i="29" s="1"/>
  <c r="E38" i="43"/>
  <c r="E39" i="43" s="1"/>
  <c r="E40" i="43" s="1"/>
  <c r="E41" i="43" s="1"/>
  <c r="E42" i="43" s="1"/>
  <c r="E43" i="43" s="1"/>
  <c r="E44" i="43" s="1"/>
  <c r="E45" i="43" s="1"/>
  <c r="E46" i="43" s="1"/>
  <c r="E47" i="43" s="1"/>
  <c r="E48" i="43" s="1"/>
  <c r="E49" i="43" s="1"/>
  <c r="E50" i="43" s="1"/>
  <c r="E51" i="43" s="1"/>
  <c r="E52" i="43" s="1"/>
  <c r="E53" i="43" s="1"/>
  <c r="E54" i="43" s="1"/>
  <c r="E55" i="43" s="1"/>
  <c r="E56" i="43" s="1"/>
  <c r="E57" i="43" s="1"/>
  <c r="E58" i="43" s="1"/>
  <c r="E59" i="43" s="1"/>
  <c r="E60" i="43" s="1"/>
  <c r="E61" i="43" s="1"/>
  <c r="E62" i="43" s="1"/>
  <c r="E63" i="43" s="1"/>
  <c r="E64" i="43" s="1"/>
  <c r="E65" i="43" s="1"/>
  <c r="E66" i="43" s="1"/>
  <c r="E67" i="43" s="1"/>
  <c r="E68" i="43" s="1"/>
  <c r="E69" i="43" s="1"/>
  <c r="E70" i="43" s="1"/>
  <c r="E71" i="43" s="1"/>
  <c r="E72" i="43" s="1"/>
  <c r="E73" i="43" s="1"/>
  <c r="E74" i="43" s="1"/>
  <c r="E75" i="43" s="1"/>
  <c r="E76" i="43" s="1"/>
  <c r="E77" i="43" s="1"/>
  <c r="E78" i="43" s="1"/>
  <c r="E79" i="43" s="1"/>
  <c r="E80" i="43" s="1"/>
  <c r="E81" i="43" s="1"/>
  <c r="E82" i="43" s="1"/>
  <c r="E83" i="43" s="1"/>
  <c r="E84" i="43" s="1"/>
  <c r="E85" i="43" s="1"/>
  <c r="E86" i="43" s="1"/>
  <c r="E87" i="43" s="1"/>
  <c r="E88" i="43" s="1"/>
  <c r="E89" i="43" s="1"/>
  <c r="E61" i="44"/>
  <c r="E25" i="21"/>
  <c r="E24" i="21"/>
  <c r="E26" i="21"/>
  <c r="E27" i="21" s="1"/>
  <c r="E28" i="21" s="1"/>
  <c r="E29" i="21" s="1"/>
  <c r="E30" i="21" s="1"/>
  <c r="E31" i="21" s="1"/>
  <c r="E32" i="21" s="1"/>
  <c r="E33" i="21" s="1"/>
  <c r="E34" i="21" s="1"/>
  <c r="E35" i="21" s="1"/>
  <c r="E36" i="21" s="1"/>
  <c r="E37" i="21" s="1"/>
  <c r="E38" i="21" s="1"/>
  <c r="E39" i="21" s="1"/>
  <c r="E40" i="21" s="1"/>
  <c r="E41" i="21" s="1"/>
  <c r="E42" i="21" s="1"/>
  <c r="E43" i="21" s="1"/>
  <c r="E44" i="21" s="1"/>
  <c r="E45" i="21" s="1"/>
  <c r="E46" i="21" s="1"/>
  <c r="E47" i="21" s="1"/>
  <c r="E48" i="21" s="1"/>
  <c r="E49" i="21" s="1"/>
  <c r="E50" i="21" s="1"/>
  <c r="E51" i="21" s="1"/>
  <c r="E52" i="21" s="1"/>
  <c r="E53" i="21" s="1"/>
  <c r="E54" i="21" s="1"/>
  <c r="E55" i="21" s="1"/>
  <c r="E56" i="21" s="1"/>
  <c r="E57" i="21" s="1"/>
  <c r="E58" i="21" s="1"/>
  <c r="E59" i="21" s="1"/>
  <c r="E60" i="21" s="1"/>
  <c r="E61" i="21" s="1"/>
  <c r="E62" i="21" s="1"/>
  <c r="E63" i="21" s="1"/>
  <c r="E64" i="21" s="1"/>
  <c r="E65" i="21" s="1"/>
  <c r="E66" i="21" s="1"/>
  <c r="E67" i="21" s="1"/>
  <c r="E68" i="21" s="1"/>
  <c r="E69" i="21" s="1"/>
  <c r="E70" i="21" s="1"/>
  <c r="E71" i="21" s="1"/>
  <c r="E72" i="21" s="1"/>
  <c r="E73" i="21" s="1"/>
  <c r="E74" i="21" s="1"/>
  <c r="E75" i="21" s="1"/>
  <c r="E76" i="21" s="1"/>
  <c r="E77" i="21" s="1"/>
  <c r="E78" i="21" s="1"/>
  <c r="E79" i="21" s="1"/>
  <c r="E80" i="21" s="1"/>
  <c r="E81" i="21" s="1"/>
  <c r="E82" i="21" s="1"/>
  <c r="E83" i="21" s="1"/>
  <c r="E84" i="21" s="1"/>
  <c r="E85" i="21" s="1"/>
  <c r="E86" i="21" s="1"/>
  <c r="E87" i="21" s="1"/>
  <c r="E88" i="21" s="1"/>
  <c r="E89" i="21" s="1"/>
  <c r="E90" i="21" s="1"/>
  <c r="E91" i="21" s="1"/>
  <c r="E92" i="21" s="1"/>
  <c r="E93" i="21" s="1"/>
  <c r="E94" i="21" s="1"/>
  <c r="E95" i="21" s="1"/>
  <c r="E96" i="21" s="1"/>
  <c r="E97" i="21" s="1"/>
  <c r="E98" i="21" s="1"/>
  <c r="E99" i="21" s="1"/>
  <c r="E100" i="21" s="1"/>
  <c r="E101" i="21" s="1"/>
  <c r="E102" i="21" s="1"/>
  <c r="E103" i="21" s="1"/>
  <c r="E104" i="21" s="1"/>
  <c r="E105" i="21" s="1"/>
  <c r="E106" i="21" s="1"/>
  <c r="E107" i="21" s="1"/>
  <c r="E108" i="21" s="1"/>
  <c r="E109" i="21" s="1"/>
  <c r="E110" i="21" s="1"/>
  <c r="E111" i="21" s="1"/>
  <c r="E112" i="21" s="1"/>
  <c r="E113" i="21" s="1"/>
  <c r="E114" i="21" s="1"/>
  <c r="E115" i="21" s="1"/>
  <c r="E116" i="21" s="1"/>
  <c r="E117" i="21" s="1"/>
  <c r="E118" i="21" s="1"/>
  <c r="E119" i="21" s="1"/>
  <c r="E120" i="21" s="1"/>
  <c r="E121" i="21" s="1"/>
  <c r="E122" i="21" s="1"/>
  <c r="E123" i="21" s="1"/>
  <c r="E124" i="21" s="1"/>
  <c r="E125" i="21" s="1"/>
  <c r="E126" i="21" s="1"/>
  <c r="E127" i="21" s="1"/>
  <c r="E128" i="21" s="1"/>
  <c r="E129" i="21" s="1"/>
  <c r="E130" i="21" s="1"/>
  <c r="E131" i="21" s="1"/>
  <c r="E132" i="21" s="1"/>
  <c r="E133" i="21" s="1"/>
  <c r="E134" i="21" s="1"/>
  <c r="E135" i="21" s="1"/>
  <c r="E136" i="21" s="1"/>
  <c r="E137" i="21" s="1"/>
  <c r="E138" i="21" s="1"/>
  <c r="E139" i="21" s="1"/>
  <c r="E140" i="21" s="1"/>
  <c r="E141" i="21" s="1"/>
  <c r="E142" i="21" s="1"/>
  <c r="E143" i="21" s="1"/>
  <c r="E144" i="21" s="1"/>
  <c r="E145" i="21" s="1"/>
  <c r="G18" i="20"/>
  <c r="D21" i="20"/>
  <c r="G21" i="20" s="1"/>
  <c r="G24" i="20" s="1"/>
  <c r="D20" i="20"/>
  <c r="D19" i="20"/>
  <c r="G19" i="20" s="1"/>
  <c r="C27" i="21"/>
  <c r="D28" i="21"/>
  <c r="G16" i="18"/>
  <c r="E17" i="18"/>
  <c r="G17" i="19"/>
  <c r="D19" i="19"/>
  <c r="P20" i="3"/>
  <c r="U20" i="3" s="1"/>
  <c r="G16" i="11"/>
  <c r="E17" i="11"/>
  <c r="P52" i="3"/>
  <c r="U52" i="3" s="1"/>
  <c r="P58" i="3"/>
  <c r="U58" i="3" s="1"/>
  <c r="P45" i="3"/>
  <c r="U45" i="3" s="1"/>
  <c r="G24" i="21"/>
  <c r="G25" i="21" s="1"/>
  <c r="G26" i="21" s="1"/>
  <c r="G27" i="21" s="1"/>
  <c r="D15" i="42"/>
  <c r="D37" i="29" s="1"/>
  <c r="H10" i="29"/>
  <c r="D13" i="29"/>
  <c r="D19" i="44"/>
  <c r="D20" i="44" s="1"/>
  <c r="D22" i="44" s="1"/>
  <c r="D15" i="43"/>
  <c r="D49" i="29" s="1"/>
  <c r="D15" i="46"/>
  <c r="D85" i="29" s="1"/>
  <c r="F31" i="13" l="1"/>
  <c r="F30" i="13"/>
  <c r="F31" i="29" s="1"/>
  <c r="C30" i="13"/>
  <c r="C31" i="29" s="1"/>
  <c r="D26" i="13"/>
  <c r="D23" i="45"/>
  <c r="D26" i="45" s="1"/>
  <c r="G29" i="45" s="1"/>
  <c r="D24" i="45"/>
  <c r="D19" i="43"/>
  <c r="D20" i="43" s="1"/>
  <c r="D22" i="43" s="1"/>
  <c r="D19" i="11"/>
  <c r="G17" i="11"/>
  <c r="D19" i="42"/>
  <c r="D20" i="42" s="1"/>
  <c r="D22" i="42" s="1"/>
  <c r="D24" i="42" s="1"/>
  <c r="D25" i="20"/>
  <c r="E68" i="29"/>
  <c r="E62" i="44"/>
  <c r="E63" i="44" s="1"/>
  <c r="E64" i="44" s="1"/>
  <c r="E65" i="44" s="1"/>
  <c r="E66" i="44" s="1"/>
  <c r="E67" i="44" s="1"/>
  <c r="E68" i="44" s="1"/>
  <c r="E69" i="44" s="1"/>
  <c r="E70" i="44" s="1"/>
  <c r="E71" i="44" s="1"/>
  <c r="E72" i="44" s="1"/>
  <c r="E73" i="44" s="1"/>
  <c r="E74" i="44" s="1"/>
  <c r="E75" i="44" s="1"/>
  <c r="E76" i="44" s="1"/>
  <c r="E77" i="44" s="1"/>
  <c r="E78" i="44" s="1"/>
  <c r="E79" i="44" s="1"/>
  <c r="E80" i="44" s="1"/>
  <c r="E81" i="44" s="1"/>
  <c r="E82" i="44" s="1"/>
  <c r="E83" i="44" s="1"/>
  <c r="E84" i="44" s="1"/>
  <c r="E85" i="44" s="1"/>
  <c r="E86" i="44" s="1"/>
  <c r="E87" i="44" s="1"/>
  <c r="E88" i="44" s="1"/>
  <c r="E89" i="44" s="1"/>
  <c r="F85" i="20"/>
  <c r="G20" i="20"/>
  <c r="E90" i="43"/>
  <c r="D29" i="21"/>
  <c r="C28" i="21"/>
  <c r="D19" i="18"/>
  <c r="G17" i="18"/>
  <c r="G28" i="21"/>
  <c r="D22" i="19"/>
  <c r="G22" i="19" s="1"/>
  <c r="G25" i="19" s="1"/>
  <c r="D21" i="19"/>
  <c r="G19" i="19"/>
  <c r="D20" i="19"/>
  <c r="G20" i="19" s="1"/>
  <c r="D27" i="20"/>
  <c r="D24" i="44"/>
  <c r="D23" i="44"/>
  <c r="D30" i="44" s="1"/>
  <c r="D19" i="46"/>
  <c r="D20" i="46" s="1"/>
  <c r="D22" i="46" s="1"/>
  <c r="D23" i="43"/>
  <c r="D24" i="43"/>
  <c r="D14" i="29"/>
  <c r="H13" i="29"/>
  <c r="F30" i="45" l="1"/>
  <c r="F35" i="45"/>
  <c r="D31" i="13"/>
  <c r="G29" i="13"/>
  <c r="G30" i="13" s="1"/>
  <c r="D35" i="45"/>
  <c r="D30" i="45"/>
  <c r="F32" i="13"/>
  <c r="F33" i="13" s="1"/>
  <c r="F34" i="13" s="1"/>
  <c r="F35" i="13" s="1"/>
  <c r="F36" i="13" s="1"/>
  <c r="F37" i="13" s="1"/>
  <c r="F38" i="13" s="1"/>
  <c r="F39" i="13" s="1"/>
  <c r="F40" i="13" s="1"/>
  <c r="F41" i="13" s="1"/>
  <c r="F42" i="13" s="1"/>
  <c r="F43" i="13" s="1"/>
  <c r="F44" i="13" s="1"/>
  <c r="F45" i="13" s="1"/>
  <c r="F46" i="13" s="1"/>
  <c r="F47" i="13" s="1"/>
  <c r="F48" i="13" s="1"/>
  <c r="F49" i="13" s="1"/>
  <c r="F50" i="13" s="1"/>
  <c r="F51" i="13" s="1"/>
  <c r="F52" i="13" s="1"/>
  <c r="F53" i="13" s="1"/>
  <c r="F54" i="13" s="1"/>
  <c r="F55" i="13" s="1"/>
  <c r="F56" i="13" s="1"/>
  <c r="F57" i="13" s="1"/>
  <c r="F58" i="13" s="1"/>
  <c r="F59" i="13" s="1"/>
  <c r="F60" i="13" s="1"/>
  <c r="F61" i="13" s="1"/>
  <c r="F62" i="13" s="1"/>
  <c r="F63" i="13" s="1"/>
  <c r="F64" i="13" s="1"/>
  <c r="F65" i="13" s="1"/>
  <c r="F66" i="13" s="1"/>
  <c r="F67" i="13" s="1"/>
  <c r="F68" i="13" s="1"/>
  <c r="F69" i="13" s="1"/>
  <c r="F70" i="13" s="1"/>
  <c r="F71" i="13" s="1"/>
  <c r="F72" i="13" s="1"/>
  <c r="F73" i="13" s="1"/>
  <c r="F74" i="13" s="1"/>
  <c r="F75" i="13" s="1"/>
  <c r="F76" i="13" s="1"/>
  <c r="F77" i="13" s="1"/>
  <c r="F78" i="13" s="1"/>
  <c r="F79" i="13" s="1"/>
  <c r="F80" i="13" s="1"/>
  <c r="F81" i="13" s="1"/>
  <c r="F82" i="13" s="1"/>
  <c r="F83" i="13" s="1"/>
  <c r="F84" i="13" s="1"/>
  <c r="F85" i="13" s="1"/>
  <c r="F86" i="13" s="1"/>
  <c r="F87" i="13" s="1"/>
  <c r="F88" i="13" s="1"/>
  <c r="F89" i="13" s="1"/>
  <c r="F90" i="13" s="1"/>
  <c r="F32" i="29"/>
  <c r="G19" i="18"/>
  <c r="D22" i="18"/>
  <c r="G22" i="18" s="1"/>
  <c r="G25" i="18" s="1"/>
  <c r="D21" i="18"/>
  <c r="D20" i="18"/>
  <c r="G20" i="18" s="1"/>
  <c r="D26" i="20"/>
  <c r="C26" i="20" s="1"/>
  <c r="C25" i="20"/>
  <c r="G25" i="20" s="1"/>
  <c r="G26" i="20" s="1"/>
  <c r="D27" i="19"/>
  <c r="C27" i="19" s="1"/>
  <c r="E90" i="44"/>
  <c r="D26" i="43"/>
  <c r="D31" i="43" s="1"/>
  <c r="D26" i="19"/>
  <c r="C26" i="19" s="1"/>
  <c r="G26" i="19" s="1"/>
  <c r="G27" i="19" s="1"/>
  <c r="D28" i="19"/>
  <c r="D23" i="42"/>
  <c r="D30" i="42" s="1"/>
  <c r="F50" i="19"/>
  <c r="G21" i="19"/>
  <c r="C29" i="21"/>
  <c r="G29" i="21" s="1"/>
  <c r="D30" i="21"/>
  <c r="D28" i="20"/>
  <c r="C27" i="20"/>
  <c r="D20" i="11"/>
  <c r="G20" i="11" s="1"/>
  <c r="D27" i="11"/>
  <c r="C27" i="11" s="1"/>
  <c r="D26" i="11"/>
  <c r="C26" i="11" s="1"/>
  <c r="D22" i="11"/>
  <c r="G22" i="11" s="1"/>
  <c r="G25" i="11" s="1"/>
  <c r="G19" i="11"/>
  <c r="D21" i="11"/>
  <c r="D66" i="29"/>
  <c r="D42" i="29"/>
  <c r="D16" i="29"/>
  <c r="H14" i="29"/>
  <c r="F30" i="43"/>
  <c r="F54" i="29" s="1"/>
  <c r="F31" i="43"/>
  <c r="F32" i="43" s="1"/>
  <c r="F33" i="43" s="1"/>
  <c r="F34" i="43" s="1"/>
  <c r="F35" i="43" s="1"/>
  <c r="F36" i="43" s="1"/>
  <c r="D26" i="44"/>
  <c r="D23" i="46"/>
  <c r="D30" i="46" s="1"/>
  <c r="D24" i="46"/>
  <c r="D30" i="43"/>
  <c r="F31" i="42"/>
  <c r="F30" i="42"/>
  <c r="F42" i="29" s="1"/>
  <c r="F30" i="44"/>
  <c r="F66" i="29" s="1"/>
  <c r="F31" i="44"/>
  <c r="D31" i="45" l="1"/>
  <c r="D78" i="29"/>
  <c r="C30" i="45"/>
  <c r="D36" i="45"/>
  <c r="D79" i="29"/>
  <c r="G31" i="13"/>
  <c r="D32" i="13"/>
  <c r="D32" i="29"/>
  <c r="C31" i="13"/>
  <c r="C32" i="29" s="1"/>
  <c r="G29" i="43"/>
  <c r="C35" i="45"/>
  <c r="C79" i="29" s="1"/>
  <c r="F79" i="29"/>
  <c r="F36" i="45"/>
  <c r="F37" i="45" s="1"/>
  <c r="F38" i="45" s="1"/>
  <c r="F39" i="45" s="1"/>
  <c r="F40" i="45" s="1"/>
  <c r="F41" i="45" s="1"/>
  <c r="F42" i="45" s="1"/>
  <c r="F43" i="45" s="1"/>
  <c r="F44" i="45" s="1"/>
  <c r="F45" i="45" s="1"/>
  <c r="F46" i="45" s="1"/>
  <c r="F47" i="45" s="1"/>
  <c r="F48" i="45" s="1"/>
  <c r="F49" i="45" s="1"/>
  <c r="F50" i="45" s="1"/>
  <c r="F51" i="45" s="1"/>
  <c r="F52" i="45" s="1"/>
  <c r="F53" i="45" s="1"/>
  <c r="F54" i="45" s="1"/>
  <c r="F55" i="45" s="1"/>
  <c r="F56" i="45" s="1"/>
  <c r="F57" i="45" s="1"/>
  <c r="F58" i="45" s="1"/>
  <c r="F59" i="45" s="1"/>
  <c r="F60" i="45" s="1"/>
  <c r="F61" i="45" s="1"/>
  <c r="F62" i="45" s="1"/>
  <c r="F63" i="45" s="1"/>
  <c r="F64" i="45" s="1"/>
  <c r="F65" i="45" s="1"/>
  <c r="F66" i="45" s="1"/>
  <c r="F67" i="45" s="1"/>
  <c r="F68" i="45" s="1"/>
  <c r="F69" i="45" s="1"/>
  <c r="F70" i="45" s="1"/>
  <c r="F71" i="45" s="1"/>
  <c r="F72" i="45" s="1"/>
  <c r="F73" i="45" s="1"/>
  <c r="F74" i="45" s="1"/>
  <c r="F75" i="45" s="1"/>
  <c r="F76" i="45" s="1"/>
  <c r="F77" i="45" s="1"/>
  <c r="F78" i="45" s="1"/>
  <c r="F79" i="45" s="1"/>
  <c r="F80" i="45" s="1"/>
  <c r="F81" i="45" s="1"/>
  <c r="F82" i="45" s="1"/>
  <c r="F83" i="45" s="1"/>
  <c r="F84" i="45" s="1"/>
  <c r="F85" i="45" s="1"/>
  <c r="F86" i="45" s="1"/>
  <c r="F87" i="45" s="1"/>
  <c r="F88" i="45" s="1"/>
  <c r="F89" i="45" s="1"/>
  <c r="F90" i="45" s="1"/>
  <c r="F78" i="29"/>
  <c r="F31" i="45"/>
  <c r="F32" i="45" s="1"/>
  <c r="F33" i="45" s="1"/>
  <c r="F34" i="45" s="1"/>
  <c r="D29" i="20"/>
  <c r="C28" i="20"/>
  <c r="F29" i="18"/>
  <c r="G21" i="18"/>
  <c r="D30" i="18"/>
  <c r="C30" i="18" s="1"/>
  <c r="G26" i="11"/>
  <c r="G27" i="11" s="1"/>
  <c r="D27" i="18"/>
  <c r="D31" i="21"/>
  <c r="C30" i="21"/>
  <c r="G30" i="21" s="1"/>
  <c r="D29" i="19"/>
  <c r="C28" i="19"/>
  <c r="G28" i="19" s="1"/>
  <c r="G21" i="11"/>
  <c r="F26" i="11"/>
  <c r="G27" i="20"/>
  <c r="D26" i="18"/>
  <c r="C26" i="18" s="1"/>
  <c r="G26" i="18" s="1"/>
  <c r="D26" i="42"/>
  <c r="D90" i="29"/>
  <c r="D31" i="46"/>
  <c r="D26" i="46"/>
  <c r="D31" i="44"/>
  <c r="G29" i="44"/>
  <c r="C30" i="44"/>
  <c r="C66" i="29" s="1"/>
  <c r="D54" i="29"/>
  <c r="C30" i="43"/>
  <c r="C54" i="29" s="1"/>
  <c r="F67" i="29"/>
  <c r="F32" i="44"/>
  <c r="F32" i="42"/>
  <c r="F33" i="42" s="1"/>
  <c r="F34" i="42" s="1"/>
  <c r="F35" i="42" s="1"/>
  <c r="F36" i="42" s="1"/>
  <c r="F37" i="42" s="1"/>
  <c r="F38" i="42" s="1"/>
  <c r="F39" i="42" s="1"/>
  <c r="F40" i="42" s="1"/>
  <c r="F41" i="42" s="1"/>
  <c r="F42" i="42" s="1"/>
  <c r="F43" i="42" s="1"/>
  <c r="F44" i="42" s="1"/>
  <c r="F45" i="42" s="1"/>
  <c r="F46" i="42" s="1"/>
  <c r="F47" i="42" s="1"/>
  <c r="F48" i="42" s="1"/>
  <c r="F49" i="42" s="1"/>
  <c r="F50" i="42" s="1"/>
  <c r="F51" i="42" s="1"/>
  <c r="F52" i="42" s="1"/>
  <c r="F53" i="42" s="1"/>
  <c r="F54" i="42" s="1"/>
  <c r="F55" i="42" s="1"/>
  <c r="F56" i="42" s="1"/>
  <c r="F57" i="42" s="1"/>
  <c r="F58" i="42" s="1"/>
  <c r="F59" i="42" s="1"/>
  <c r="F60" i="42" s="1"/>
  <c r="F61" i="42" s="1"/>
  <c r="F62" i="42" s="1"/>
  <c r="F63" i="42" s="1"/>
  <c r="F64" i="42" s="1"/>
  <c r="F65" i="42" s="1"/>
  <c r="F66" i="42" s="1"/>
  <c r="F67" i="42" s="1"/>
  <c r="F68" i="42" s="1"/>
  <c r="F69" i="42" s="1"/>
  <c r="F70" i="42" s="1"/>
  <c r="F71" i="42" s="1"/>
  <c r="F72" i="42" s="1"/>
  <c r="F73" i="42" s="1"/>
  <c r="F74" i="42" s="1"/>
  <c r="F75" i="42" s="1"/>
  <c r="F76" i="42" s="1"/>
  <c r="F77" i="42" s="1"/>
  <c r="F78" i="42" s="1"/>
  <c r="F79" i="42" s="1"/>
  <c r="F80" i="42" s="1"/>
  <c r="F81" i="42" s="1"/>
  <c r="F82" i="42" s="1"/>
  <c r="F83" i="42" s="1"/>
  <c r="F84" i="42" s="1"/>
  <c r="F85" i="42" s="1"/>
  <c r="F86" i="42" s="1"/>
  <c r="F87" i="42" s="1"/>
  <c r="F88" i="42" s="1"/>
  <c r="F89" i="42" s="1"/>
  <c r="F90" i="42" s="1"/>
  <c r="F43" i="29"/>
  <c r="F32" i="46"/>
  <c r="F30" i="46"/>
  <c r="C30" i="42"/>
  <c r="C42" i="29" s="1"/>
  <c r="X3" i="29"/>
  <c r="D18" i="29"/>
  <c r="H18" i="29" s="1"/>
  <c r="H16" i="29"/>
  <c r="D19" i="29"/>
  <c r="H19" i="29" s="1"/>
  <c r="C31" i="43"/>
  <c r="D32" i="43"/>
  <c r="F37" i="43"/>
  <c r="F38" i="43" s="1"/>
  <c r="F39" i="43" s="1"/>
  <c r="F40" i="43" s="1"/>
  <c r="F41" i="43" s="1"/>
  <c r="F42" i="43" s="1"/>
  <c r="F43" i="43" s="1"/>
  <c r="F44" i="43" s="1"/>
  <c r="F45" i="43" s="1"/>
  <c r="F46" i="43" s="1"/>
  <c r="F47" i="43" s="1"/>
  <c r="F48" i="43" s="1"/>
  <c r="F49" i="43" s="1"/>
  <c r="F50" i="43" s="1"/>
  <c r="F51" i="43" s="1"/>
  <c r="F52" i="43" s="1"/>
  <c r="F53" i="43" s="1"/>
  <c r="F54" i="43" s="1"/>
  <c r="F55" i="43" s="1"/>
  <c r="F56" i="43" s="1"/>
  <c r="F57" i="43" s="1"/>
  <c r="F58" i="43" s="1"/>
  <c r="F59" i="43" s="1"/>
  <c r="F60" i="43" s="1"/>
  <c r="F61" i="43" s="1"/>
  <c r="F62" i="43" s="1"/>
  <c r="F63" i="43" s="1"/>
  <c r="F64" i="43" s="1"/>
  <c r="F65" i="43" s="1"/>
  <c r="F66" i="43" s="1"/>
  <c r="F67" i="43" s="1"/>
  <c r="F68" i="43" s="1"/>
  <c r="F69" i="43" s="1"/>
  <c r="F70" i="43" s="1"/>
  <c r="F71" i="43" s="1"/>
  <c r="F72" i="43" s="1"/>
  <c r="F73" i="43" s="1"/>
  <c r="F74" i="43" s="1"/>
  <c r="F75" i="43" s="1"/>
  <c r="F76" i="43" s="1"/>
  <c r="F77" i="43" s="1"/>
  <c r="F78" i="43" s="1"/>
  <c r="F79" i="43" s="1"/>
  <c r="F80" i="43" s="1"/>
  <c r="F81" i="43" s="1"/>
  <c r="F82" i="43" s="1"/>
  <c r="F83" i="43" s="1"/>
  <c r="F84" i="43" s="1"/>
  <c r="F85" i="43" s="1"/>
  <c r="F86" i="43" s="1"/>
  <c r="F87" i="43" s="1"/>
  <c r="F88" i="43" s="1"/>
  <c r="F89" i="43" s="1"/>
  <c r="F90" i="43" s="1"/>
  <c r="F55" i="29"/>
  <c r="G30" i="43"/>
  <c r="C32" i="13" l="1"/>
  <c r="G32" i="13" s="1"/>
  <c r="D33" i="13"/>
  <c r="D37" i="45"/>
  <c r="C36" i="45"/>
  <c r="G31" i="43"/>
  <c r="G30" i="45"/>
  <c r="C78" i="29"/>
  <c r="D32" i="45"/>
  <c r="C31" i="45"/>
  <c r="G31" i="45" s="1"/>
  <c r="G27" i="18"/>
  <c r="G30" i="44"/>
  <c r="D30" i="19"/>
  <c r="C29" i="19"/>
  <c r="G29" i="19" s="1"/>
  <c r="C31" i="21"/>
  <c r="G31" i="21" s="1"/>
  <c r="D32" i="21"/>
  <c r="C27" i="18"/>
  <c r="D28" i="18"/>
  <c r="C29" i="20"/>
  <c r="D30" i="20"/>
  <c r="G28" i="20"/>
  <c r="G29" i="20" s="1"/>
  <c r="G29" i="42"/>
  <c r="G30" i="42" s="1"/>
  <c r="D31" i="42"/>
  <c r="F31" i="46"/>
  <c r="F91" i="29" s="1"/>
  <c r="F90" i="29"/>
  <c r="D33" i="43"/>
  <c r="C32" i="43"/>
  <c r="G32" i="43" s="1"/>
  <c r="F33" i="46"/>
  <c r="F34" i="46" s="1"/>
  <c r="F35" i="46" s="1"/>
  <c r="F36" i="46" s="1"/>
  <c r="F37" i="46" s="1"/>
  <c r="F38" i="46" s="1"/>
  <c r="F39" i="46" s="1"/>
  <c r="F40" i="46" s="1"/>
  <c r="F41" i="46" s="1"/>
  <c r="F42" i="46" s="1"/>
  <c r="F43" i="46" s="1"/>
  <c r="F44" i="46" s="1"/>
  <c r="F45" i="46" s="1"/>
  <c r="F46" i="46" s="1"/>
  <c r="F47" i="46" s="1"/>
  <c r="F48" i="46" s="1"/>
  <c r="F49" i="46" s="1"/>
  <c r="F50" i="46" s="1"/>
  <c r="F51" i="46" s="1"/>
  <c r="F52" i="46" s="1"/>
  <c r="F53" i="46" s="1"/>
  <c r="F54" i="46" s="1"/>
  <c r="F55" i="46" s="1"/>
  <c r="F56" i="46" s="1"/>
  <c r="F57" i="46" s="1"/>
  <c r="F58" i="46" s="1"/>
  <c r="F59" i="46" s="1"/>
  <c r="F60" i="46" s="1"/>
  <c r="F61" i="46" s="1"/>
  <c r="F62" i="46" s="1"/>
  <c r="F63" i="46" s="1"/>
  <c r="F64" i="46" s="1"/>
  <c r="F65" i="46" s="1"/>
  <c r="F66" i="46" s="1"/>
  <c r="F67" i="46" s="1"/>
  <c r="F68" i="46" s="1"/>
  <c r="F69" i="46" s="1"/>
  <c r="F70" i="46" s="1"/>
  <c r="F71" i="46" s="1"/>
  <c r="F72" i="46" s="1"/>
  <c r="F73" i="46" s="1"/>
  <c r="F74" i="46" s="1"/>
  <c r="F75" i="46" s="1"/>
  <c r="F76" i="46" s="1"/>
  <c r="F77" i="46" s="1"/>
  <c r="F78" i="46" s="1"/>
  <c r="F79" i="46" s="1"/>
  <c r="F80" i="46" s="1"/>
  <c r="F81" i="46" s="1"/>
  <c r="F82" i="46" s="1"/>
  <c r="F83" i="46" s="1"/>
  <c r="F84" i="46" s="1"/>
  <c r="F85" i="46" s="1"/>
  <c r="F86" i="46" s="1"/>
  <c r="F87" i="46" s="1"/>
  <c r="F88" i="46" s="1"/>
  <c r="F89" i="46" s="1"/>
  <c r="F90" i="46" s="1"/>
  <c r="F91" i="46" s="1"/>
  <c r="F92" i="46" s="1"/>
  <c r="F93" i="46" s="1"/>
  <c r="F94" i="46" s="1"/>
  <c r="F95" i="46" s="1"/>
  <c r="F96" i="46" s="1"/>
  <c r="F97" i="46" s="1"/>
  <c r="F98" i="46" s="1"/>
  <c r="F99" i="46" s="1"/>
  <c r="F100" i="46" s="1"/>
  <c r="F101" i="46" s="1"/>
  <c r="F102" i="46" s="1"/>
  <c r="F103" i="46" s="1"/>
  <c r="F104" i="46" s="1"/>
  <c r="F105" i="46" s="1"/>
  <c r="F106" i="46" s="1"/>
  <c r="F107" i="46" s="1"/>
  <c r="F108" i="46" s="1"/>
  <c r="F109" i="46" s="1"/>
  <c r="F110" i="46" s="1"/>
  <c r="F111" i="46" s="1"/>
  <c r="F112" i="46" s="1"/>
  <c r="F113" i="46" s="1"/>
  <c r="F114" i="46" s="1"/>
  <c r="F115" i="46" s="1"/>
  <c r="F116" i="46" s="1"/>
  <c r="F117" i="46" s="1"/>
  <c r="F118" i="46" s="1"/>
  <c r="F119" i="46" s="1"/>
  <c r="F120" i="46" s="1"/>
  <c r="F121" i="46" s="1"/>
  <c r="F122" i="46" s="1"/>
  <c r="F123" i="46" s="1"/>
  <c r="F124" i="46" s="1"/>
  <c r="F125" i="46" s="1"/>
  <c r="F126" i="46" s="1"/>
  <c r="F127" i="46" s="1"/>
  <c r="F128" i="46" s="1"/>
  <c r="F129" i="46" s="1"/>
  <c r="F130" i="46" s="1"/>
  <c r="F131" i="46" s="1"/>
  <c r="F132" i="46" s="1"/>
  <c r="F133" i="46" s="1"/>
  <c r="F134" i="46" s="1"/>
  <c r="F135" i="46" s="1"/>
  <c r="F136" i="46" s="1"/>
  <c r="F137" i="46" s="1"/>
  <c r="F138" i="46" s="1"/>
  <c r="F139" i="46" s="1"/>
  <c r="F140" i="46" s="1"/>
  <c r="F141" i="46" s="1"/>
  <c r="F142" i="46" s="1"/>
  <c r="F143" i="46" s="1"/>
  <c r="F144" i="46" s="1"/>
  <c r="F145" i="46" s="1"/>
  <c r="F146" i="46" s="1"/>
  <c r="F147" i="46" s="1"/>
  <c r="F148" i="46" s="1"/>
  <c r="F149" i="46" s="1"/>
  <c r="F92" i="29"/>
  <c r="F33" i="44"/>
  <c r="F34" i="44" s="1"/>
  <c r="F35" i="44" s="1"/>
  <c r="F36" i="44" s="1"/>
  <c r="F37" i="44" s="1"/>
  <c r="F38" i="44" s="1"/>
  <c r="F39" i="44" s="1"/>
  <c r="F40" i="44" s="1"/>
  <c r="F41" i="44" s="1"/>
  <c r="F42" i="44" s="1"/>
  <c r="F43" i="44" s="1"/>
  <c r="F44" i="44" s="1"/>
  <c r="F45" i="44" s="1"/>
  <c r="F46" i="44" s="1"/>
  <c r="F47" i="44" s="1"/>
  <c r="F48" i="44" s="1"/>
  <c r="F49" i="44" s="1"/>
  <c r="F50" i="44" s="1"/>
  <c r="F51" i="44" s="1"/>
  <c r="F52" i="44" s="1"/>
  <c r="F53" i="44" s="1"/>
  <c r="F54" i="44" s="1"/>
  <c r="F55" i="44" s="1"/>
  <c r="F56" i="44" s="1"/>
  <c r="F57" i="44" s="1"/>
  <c r="F58" i="44" s="1"/>
  <c r="F59" i="44" s="1"/>
  <c r="F60" i="44" s="1"/>
  <c r="C31" i="44"/>
  <c r="C67" i="29" s="1"/>
  <c r="D32" i="44"/>
  <c r="D67" i="29"/>
  <c r="G29" i="46"/>
  <c r="D32" i="46"/>
  <c r="D91" i="29"/>
  <c r="D21" i="29"/>
  <c r="H21" i="29" s="1"/>
  <c r="C30" i="46"/>
  <c r="C90" i="29" s="1"/>
  <c r="G31" i="44"/>
  <c r="C32" i="45" l="1"/>
  <c r="D33" i="45"/>
  <c r="C37" i="45"/>
  <c r="D38" i="45"/>
  <c r="D34" i="13"/>
  <c r="C33" i="13"/>
  <c r="G33" i="13" s="1"/>
  <c r="G32" i="45"/>
  <c r="D31" i="20"/>
  <c r="C30" i="20"/>
  <c r="G30" i="20" s="1"/>
  <c r="D33" i="21"/>
  <c r="C32" i="21"/>
  <c r="G32" i="21" s="1"/>
  <c r="D43" i="29"/>
  <c r="C31" i="42"/>
  <c r="C43" i="29" s="1"/>
  <c r="D32" i="42"/>
  <c r="C31" i="46"/>
  <c r="C91" i="29" s="1"/>
  <c r="D31" i="19"/>
  <c r="C30" i="19"/>
  <c r="G30" i="19" s="1"/>
  <c r="D29" i="18"/>
  <c r="C29" i="18" s="1"/>
  <c r="C28" i="18"/>
  <c r="G28" i="18" s="1"/>
  <c r="G29" i="18" s="1"/>
  <c r="G30" i="18" s="1"/>
  <c r="C32" i="46"/>
  <c r="C92" i="29" s="1"/>
  <c r="D92" i="29"/>
  <c r="D33" i="46"/>
  <c r="D34" i="43"/>
  <c r="C33" i="43"/>
  <c r="G33" i="43" s="1"/>
  <c r="G30" i="46"/>
  <c r="D33" i="44"/>
  <c r="C32" i="44"/>
  <c r="G32" i="44" s="1"/>
  <c r="F61" i="44"/>
  <c r="C34" i="13" l="1"/>
  <c r="G34" i="13" s="1"/>
  <c r="D35" i="13"/>
  <c r="D39" i="45"/>
  <c r="C38" i="45"/>
  <c r="C33" i="45"/>
  <c r="G33" i="45" s="1"/>
  <c r="G34" i="45" s="1"/>
  <c r="G35" i="45" s="1"/>
  <c r="G36" i="45" s="1"/>
  <c r="G37" i="45" s="1"/>
  <c r="G38" i="45" s="1"/>
  <c r="D34" i="45"/>
  <c r="C34" i="45" s="1"/>
  <c r="G31" i="46"/>
  <c r="G32" i="46" s="1"/>
  <c r="G31" i="42"/>
  <c r="C31" i="20"/>
  <c r="G31" i="20" s="1"/>
  <c r="D32" i="20"/>
  <c r="C31" i="19"/>
  <c r="G31" i="19" s="1"/>
  <c r="D32" i="19"/>
  <c r="G32" i="42"/>
  <c r="C33" i="21"/>
  <c r="G33" i="21" s="1"/>
  <c r="D34" i="21"/>
  <c r="C32" i="42"/>
  <c r="D33" i="42"/>
  <c r="D35" i="43"/>
  <c r="C34" i="43"/>
  <c r="G34" i="43" s="1"/>
  <c r="D34" i="44"/>
  <c r="C33" i="44"/>
  <c r="G33" i="44" s="1"/>
  <c r="C33" i="46"/>
  <c r="D34" i="46"/>
  <c r="F68" i="29"/>
  <c r="F62" i="44"/>
  <c r="F63" i="44" s="1"/>
  <c r="F64" i="44" s="1"/>
  <c r="F65" i="44" s="1"/>
  <c r="F66" i="44" s="1"/>
  <c r="F67" i="44" s="1"/>
  <c r="F68" i="44" s="1"/>
  <c r="F69" i="44" s="1"/>
  <c r="F70" i="44" s="1"/>
  <c r="F71" i="44" s="1"/>
  <c r="F72" i="44" s="1"/>
  <c r="F73" i="44" s="1"/>
  <c r="F74" i="44" s="1"/>
  <c r="F75" i="44" s="1"/>
  <c r="F76" i="44" s="1"/>
  <c r="F77" i="44" s="1"/>
  <c r="F78" i="44" s="1"/>
  <c r="F79" i="44" s="1"/>
  <c r="F80" i="44" s="1"/>
  <c r="F81" i="44" s="1"/>
  <c r="F82" i="44" s="1"/>
  <c r="F83" i="44" s="1"/>
  <c r="F84" i="44" s="1"/>
  <c r="F85" i="44" s="1"/>
  <c r="F86" i="44" s="1"/>
  <c r="F87" i="44" s="1"/>
  <c r="F88" i="44" s="1"/>
  <c r="F89" i="44" s="1"/>
  <c r="F90" i="44" s="1"/>
  <c r="C39" i="45" l="1"/>
  <c r="G39" i="45" s="1"/>
  <c r="D40" i="45"/>
  <c r="C35" i="13"/>
  <c r="G35" i="13" s="1"/>
  <c r="D36" i="13"/>
  <c r="G33" i="46"/>
  <c r="D33" i="20"/>
  <c r="C32" i="20"/>
  <c r="G32" i="20" s="1"/>
  <c r="C32" i="19"/>
  <c r="G32" i="19" s="1"/>
  <c r="D33" i="19"/>
  <c r="D35" i="21"/>
  <c r="C34" i="21"/>
  <c r="G34" i="21" s="1"/>
  <c r="D34" i="42"/>
  <c r="C33" i="42"/>
  <c r="G33" i="42" s="1"/>
  <c r="D35" i="44"/>
  <c r="C34" i="44"/>
  <c r="G34" i="44" s="1"/>
  <c r="C34" i="46"/>
  <c r="D35" i="46"/>
  <c r="D36" i="43"/>
  <c r="C35" i="43"/>
  <c r="G35" i="43" s="1"/>
  <c r="G34" i="46" l="1"/>
  <c r="D37" i="13"/>
  <c r="C36" i="13"/>
  <c r="G36" i="13" s="1"/>
  <c r="C40" i="45"/>
  <c r="G40" i="45" s="1"/>
  <c r="D41" i="45"/>
  <c r="C33" i="19"/>
  <c r="G33" i="19" s="1"/>
  <c r="D34" i="19"/>
  <c r="C33" i="20"/>
  <c r="G33" i="20" s="1"/>
  <c r="D34" i="20"/>
  <c r="C34" i="42"/>
  <c r="G34" i="42" s="1"/>
  <c r="D35" i="42"/>
  <c r="D36" i="21"/>
  <c r="C35" i="21"/>
  <c r="G35" i="21" s="1"/>
  <c r="D36" i="44"/>
  <c r="C35" i="44"/>
  <c r="G35" i="44" s="1"/>
  <c r="D36" i="46"/>
  <c r="C35" i="46"/>
  <c r="G35" i="46" s="1"/>
  <c r="D55" i="29"/>
  <c r="C36" i="43"/>
  <c r="C55" i="29" s="1"/>
  <c r="D37" i="43"/>
  <c r="D42" i="45" l="1"/>
  <c r="C41" i="45"/>
  <c r="G41" i="45" s="1"/>
  <c r="C37" i="13"/>
  <c r="G37" i="13" s="1"/>
  <c r="D38" i="13"/>
  <c r="D35" i="19"/>
  <c r="C34" i="19"/>
  <c r="G34" i="19" s="1"/>
  <c r="C34" i="20"/>
  <c r="G34" i="20" s="1"/>
  <c r="D35" i="20"/>
  <c r="D37" i="21"/>
  <c r="C36" i="21"/>
  <c r="G36" i="21" s="1"/>
  <c r="C35" i="42"/>
  <c r="G35" i="42" s="1"/>
  <c r="D36" i="42"/>
  <c r="D38" i="43"/>
  <c r="C37" i="43"/>
  <c r="G36" i="43"/>
  <c r="C36" i="44"/>
  <c r="G36" i="44" s="1"/>
  <c r="D37" i="44"/>
  <c r="D37" i="46"/>
  <c r="C36" i="46"/>
  <c r="G36" i="46" s="1"/>
  <c r="D39" i="13" l="1"/>
  <c r="C38" i="13"/>
  <c r="G38" i="13" s="1"/>
  <c r="C42" i="45"/>
  <c r="G42" i="45" s="1"/>
  <c r="D43" i="45"/>
  <c r="D38" i="21"/>
  <c r="C37" i="21"/>
  <c r="G37" i="21" s="1"/>
  <c r="D36" i="20"/>
  <c r="C35" i="20"/>
  <c r="G35" i="20" s="1"/>
  <c r="C35" i="19"/>
  <c r="G35" i="19" s="1"/>
  <c r="D36" i="19"/>
  <c r="G37" i="43"/>
  <c r="D37" i="42"/>
  <c r="C36" i="42"/>
  <c r="G36" i="42" s="1"/>
  <c r="C37" i="44"/>
  <c r="G37" i="44" s="1"/>
  <c r="D38" i="44"/>
  <c r="C37" i="46"/>
  <c r="G37" i="46" s="1"/>
  <c r="D38" i="46"/>
  <c r="D39" i="43"/>
  <c r="C38" i="43"/>
  <c r="D44" i="45" l="1"/>
  <c r="C43" i="45"/>
  <c r="G43" i="45" s="1"/>
  <c r="D40" i="13"/>
  <c r="C39" i="13"/>
  <c r="G39" i="13" s="1"/>
  <c r="G38" i="43"/>
  <c r="D37" i="20"/>
  <c r="C36" i="20"/>
  <c r="G36" i="20" s="1"/>
  <c r="C38" i="21"/>
  <c r="G38" i="21" s="1"/>
  <c r="D39" i="21"/>
  <c r="C37" i="42"/>
  <c r="G37" i="42" s="1"/>
  <c r="D38" i="42"/>
  <c r="C36" i="19"/>
  <c r="G36" i="19" s="1"/>
  <c r="D37" i="19"/>
  <c r="G38" i="44"/>
  <c r="D39" i="46"/>
  <c r="C38" i="46"/>
  <c r="G38" i="46" s="1"/>
  <c r="C38" i="44"/>
  <c r="D39" i="44"/>
  <c r="D40" i="43"/>
  <c r="C39" i="43"/>
  <c r="G39" i="43" s="1"/>
  <c r="C40" i="13" l="1"/>
  <c r="G40" i="13" s="1"/>
  <c r="D41" i="13"/>
  <c r="D45" i="45"/>
  <c r="C44" i="45"/>
  <c r="G44" i="45" s="1"/>
  <c r="D40" i="21"/>
  <c r="C39" i="21"/>
  <c r="G39" i="21" s="1"/>
  <c r="C37" i="20"/>
  <c r="G37" i="20" s="1"/>
  <c r="D38" i="20"/>
  <c r="C38" i="42"/>
  <c r="G38" i="42" s="1"/>
  <c r="D39" i="42"/>
  <c r="D38" i="19"/>
  <c r="C37" i="19"/>
  <c r="G37" i="19" s="1"/>
  <c r="D40" i="44"/>
  <c r="C39" i="44"/>
  <c r="G39" i="44" s="1"/>
  <c r="D40" i="46"/>
  <c r="C39" i="46"/>
  <c r="G39" i="46" s="1"/>
  <c r="D41" i="43"/>
  <c r="C40" i="43"/>
  <c r="G40" i="43" s="1"/>
  <c r="D46" i="45" l="1"/>
  <c r="C45" i="45"/>
  <c r="G45" i="45" s="1"/>
  <c r="C41" i="13"/>
  <c r="G41" i="13" s="1"/>
  <c r="D42" i="13"/>
  <c r="D39" i="20"/>
  <c r="C38" i="20"/>
  <c r="G38" i="20" s="1"/>
  <c r="D39" i="19"/>
  <c r="C38" i="19"/>
  <c r="G38" i="19" s="1"/>
  <c r="C40" i="21"/>
  <c r="G40" i="21" s="1"/>
  <c r="D41" i="21"/>
  <c r="C39" i="42"/>
  <c r="G39" i="42" s="1"/>
  <c r="D40" i="42"/>
  <c r="C41" i="43"/>
  <c r="G41" i="43" s="1"/>
  <c r="D42" i="43"/>
  <c r="D41" i="46"/>
  <c r="C40" i="46"/>
  <c r="G40" i="46" s="1"/>
  <c r="D41" i="44"/>
  <c r="C40" i="44"/>
  <c r="G40" i="44" s="1"/>
  <c r="D43" i="13" l="1"/>
  <c r="C42" i="13"/>
  <c r="G42" i="13" s="1"/>
  <c r="D47" i="45"/>
  <c r="C46" i="45"/>
  <c r="G46" i="45" s="1"/>
  <c r="C40" i="42"/>
  <c r="G40" i="42" s="1"/>
  <c r="D41" i="42"/>
  <c r="C39" i="20"/>
  <c r="G39" i="20" s="1"/>
  <c r="D40" i="20"/>
  <c r="C39" i="19"/>
  <c r="G39" i="19" s="1"/>
  <c r="D40" i="19"/>
  <c r="D42" i="21"/>
  <c r="C41" i="21"/>
  <c r="G41" i="21" s="1"/>
  <c r="C41" i="44"/>
  <c r="G41" i="44" s="1"/>
  <c r="D42" i="44"/>
  <c r="D42" i="46"/>
  <c r="C41" i="46"/>
  <c r="G41" i="46" s="1"/>
  <c r="D43" i="43"/>
  <c r="C42" i="43"/>
  <c r="G42" i="43" s="1"/>
  <c r="D48" i="45" l="1"/>
  <c r="C47" i="45"/>
  <c r="G47" i="45" s="1"/>
  <c r="D44" i="13"/>
  <c r="C43" i="13"/>
  <c r="G43" i="13" s="1"/>
  <c r="C40" i="20"/>
  <c r="G40" i="20" s="1"/>
  <c r="D41" i="20"/>
  <c r="C41" i="42"/>
  <c r="G41" i="42" s="1"/>
  <c r="D42" i="42"/>
  <c r="C42" i="21"/>
  <c r="G42" i="21" s="1"/>
  <c r="D43" i="21"/>
  <c r="C40" i="19"/>
  <c r="G40" i="19" s="1"/>
  <c r="D41" i="19"/>
  <c r="D44" i="43"/>
  <c r="C43" i="43"/>
  <c r="G43" i="43" s="1"/>
  <c r="D43" i="44"/>
  <c r="C42" i="44"/>
  <c r="G42" i="44" s="1"/>
  <c r="C42" i="46"/>
  <c r="G42" i="46" s="1"/>
  <c r="D43" i="46"/>
  <c r="D45" i="13" l="1"/>
  <c r="C44" i="13"/>
  <c r="G44" i="13" s="1"/>
  <c r="D49" i="45"/>
  <c r="C48" i="45"/>
  <c r="G48" i="45" s="1"/>
  <c r="D42" i="20"/>
  <c r="C41" i="20"/>
  <c r="G41" i="20" s="1"/>
  <c r="D43" i="42"/>
  <c r="C42" i="42"/>
  <c r="G42" i="42" s="1"/>
  <c r="C41" i="19"/>
  <c r="G41" i="19" s="1"/>
  <c r="D42" i="19"/>
  <c r="C43" i="21"/>
  <c r="G43" i="21" s="1"/>
  <c r="D44" i="21"/>
  <c r="C43" i="44"/>
  <c r="G43" i="44" s="1"/>
  <c r="D44" i="44"/>
  <c r="C44" i="43"/>
  <c r="G44" i="43" s="1"/>
  <c r="D45" i="43"/>
  <c r="D44" i="46"/>
  <c r="C43" i="46"/>
  <c r="G43" i="46" s="1"/>
  <c r="D50" i="45" l="1"/>
  <c r="C49" i="45"/>
  <c r="G49" i="45" s="1"/>
  <c r="D46" i="13"/>
  <c r="C45" i="13"/>
  <c r="G45" i="13" s="1"/>
  <c r="D44" i="42"/>
  <c r="C43" i="42"/>
  <c r="G43" i="42" s="1"/>
  <c r="D43" i="20"/>
  <c r="C42" i="20"/>
  <c r="G42" i="20" s="1"/>
  <c r="D45" i="21"/>
  <c r="C44" i="21"/>
  <c r="G44" i="21" s="1"/>
  <c r="D43" i="19"/>
  <c r="C42" i="19"/>
  <c r="G42" i="19" s="1"/>
  <c r="D45" i="44"/>
  <c r="C44" i="44"/>
  <c r="G44" i="44" s="1"/>
  <c r="D46" i="43"/>
  <c r="C45" i="43"/>
  <c r="G45" i="43" s="1"/>
  <c r="D45" i="46"/>
  <c r="C44" i="46"/>
  <c r="G44" i="46" s="1"/>
  <c r="C46" i="13" l="1"/>
  <c r="G46" i="13" s="1"/>
  <c r="D47" i="13"/>
  <c r="D51" i="45"/>
  <c r="C50" i="45"/>
  <c r="G50" i="45" s="1"/>
  <c r="C43" i="20"/>
  <c r="G43" i="20" s="1"/>
  <c r="D44" i="20"/>
  <c r="C44" i="42"/>
  <c r="G44" i="42" s="1"/>
  <c r="D45" i="42"/>
  <c r="C43" i="19"/>
  <c r="G43" i="19" s="1"/>
  <c r="D44" i="19"/>
  <c r="D46" i="21"/>
  <c r="C45" i="21"/>
  <c r="G45" i="21" s="1"/>
  <c r="D47" i="43"/>
  <c r="C46" i="43"/>
  <c r="G46" i="43" s="1"/>
  <c r="C45" i="44"/>
  <c r="G45" i="44" s="1"/>
  <c r="D46" i="44"/>
  <c r="C45" i="46"/>
  <c r="G45" i="46" s="1"/>
  <c r="D46" i="46"/>
  <c r="C51" i="45" l="1"/>
  <c r="G51" i="45" s="1"/>
  <c r="D52" i="45"/>
  <c r="D48" i="13"/>
  <c r="C47" i="13"/>
  <c r="G47" i="13" s="1"/>
  <c r="G44" i="20"/>
  <c r="C45" i="42"/>
  <c r="G45" i="42" s="1"/>
  <c r="D46" i="42"/>
  <c r="C46" i="21"/>
  <c r="G46" i="21" s="1"/>
  <c r="D47" i="21"/>
  <c r="D45" i="20"/>
  <c r="C44" i="20"/>
  <c r="C44" i="19"/>
  <c r="G44" i="19" s="1"/>
  <c r="D45" i="19"/>
  <c r="D47" i="44"/>
  <c r="C46" i="44"/>
  <c r="G46" i="44" s="1"/>
  <c r="D47" i="46"/>
  <c r="C46" i="46"/>
  <c r="G46" i="46" s="1"/>
  <c r="C47" i="43"/>
  <c r="G47" i="43" s="1"/>
  <c r="D48" i="43"/>
  <c r="D49" i="13" l="1"/>
  <c r="C48" i="13"/>
  <c r="G48" i="13" s="1"/>
  <c r="D53" i="45"/>
  <c r="C52" i="45"/>
  <c r="G52" i="45" s="1"/>
  <c r="G47" i="21"/>
  <c r="G45" i="20"/>
  <c r="C47" i="21"/>
  <c r="D48" i="21"/>
  <c r="C46" i="42"/>
  <c r="G46" i="42" s="1"/>
  <c r="D47" i="42"/>
  <c r="C45" i="19"/>
  <c r="G45" i="19" s="1"/>
  <c r="D46" i="19"/>
  <c r="C45" i="20"/>
  <c r="D46" i="20"/>
  <c r="G47" i="44"/>
  <c r="D49" i="43"/>
  <c r="C48" i="43"/>
  <c r="G48" i="43" s="1"/>
  <c r="D48" i="44"/>
  <c r="C47" i="44"/>
  <c r="C47" i="46"/>
  <c r="G47" i="46" s="1"/>
  <c r="D48" i="46"/>
  <c r="D54" i="45" l="1"/>
  <c r="C53" i="45"/>
  <c r="G53" i="45" s="1"/>
  <c r="C49" i="13"/>
  <c r="G49" i="13" s="1"/>
  <c r="D50" i="13"/>
  <c r="D47" i="20"/>
  <c r="C46" i="20"/>
  <c r="G46" i="20" s="1"/>
  <c r="C47" i="42"/>
  <c r="G47" i="42" s="1"/>
  <c r="D48" i="42"/>
  <c r="D49" i="21"/>
  <c r="C48" i="21"/>
  <c r="G48" i="21" s="1"/>
  <c r="D47" i="19"/>
  <c r="C46" i="19"/>
  <c r="G46" i="19" s="1"/>
  <c r="D49" i="46"/>
  <c r="C48" i="46"/>
  <c r="G48" i="46" s="1"/>
  <c r="D50" i="43"/>
  <c r="C49" i="43"/>
  <c r="G49" i="43" s="1"/>
  <c r="D49" i="44"/>
  <c r="C48" i="44"/>
  <c r="G48" i="44" s="1"/>
  <c r="D51" i="13" l="1"/>
  <c r="C50" i="13"/>
  <c r="G50" i="13" s="1"/>
  <c r="D55" i="45"/>
  <c r="C54" i="45"/>
  <c r="G54" i="45" s="1"/>
  <c r="G47" i="19"/>
  <c r="G47" i="20"/>
  <c r="C49" i="21"/>
  <c r="G49" i="21" s="1"/>
  <c r="D50" i="21"/>
  <c r="C48" i="42"/>
  <c r="G48" i="42" s="1"/>
  <c r="D49" i="42"/>
  <c r="D48" i="20"/>
  <c r="C47" i="20"/>
  <c r="C47" i="19"/>
  <c r="D48" i="19"/>
  <c r="C50" i="43"/>
  <c r="G50" i="43" s="1"/>
  <c r="D51" i="43"/>
  <c r="D50" i="44"/>
  <c r="C49" i="44"/>
  <c r="G49" i="44" s="1"/>
  <c r="D50" i="46"/>
  <c r="C49" i="46"/>
  <c r="G49" i="46" s="1"/>
  <c r="C55" i="45" l="1"/>
  <c r="G55" i="45" s="1"/>
  <c r="D56" i="45"/>
  <c r="C51" i="13"/>
  <c r="G51" i="13" s="1"/>
  <c r="D52" i="13"/>
  <c r="C49" i="42"/>
  <c r="G49" i="42" s="1"/>
  <c r="D50" i="42"/>
  <c r="C48" i="19"/>
  <c r="G48" i="19" s="1"/>
  <c r="D49" i="19"/>
  <c r="C50" i="21"/>
  <c r="G50" i="21" s="1"/>
  <c r="D51" i="21"/>
  <c r="C48" i="20"/>
  <c r="D49" i="20"/>
  <c r="G48" i="20"/>
  <c r="C50" i="44"/>
  <c r="G50" i="44" s="1"/>
  <c r="D51" i="44"/>
  <c r="D52" i="43"/>
  <c r="C51" i="43"/>
  <c r="G51" i="43" s="1"/>
  <c r="C50" i="46"/>
  <c r="G50" i="46" s="1"/>
  <c r="D51" i="46"/>
  <c r="C56" i="45" l="1"/>
  <c r="G56" i="45" s="1"/>
  <c r="D57" i="45"/>
  <c r="D53" i="13"/>
  <c r="C52" i="13"/>
  <c r="G52" i="13" s="1"/>
  <c r="C49" i="19"/>
  <c r="G49" i="19" s="1"/>
  <c r="D50" i="19"/>
  <c r="D51" i="42"/>
  <c r="C50" i="42"/>
  <c r="G50" i="42" s="1"/>
  <c r="G49" i="20"/>
  <c r="C51" i="21"/>
  <c r="G51" i="21" s="1"/>
  <c r="D52" i="21"/>
  <c r="D50" i="20"/>
  <c r="C49" i="20"/>
  <c r="D52" i="44"/>
  <c r="C51" i="44"/>
  <c r="G51" i="44" s="1"/>
  <c r="D53" i="43"/>
  <c r="C52" i="43"/>
  <c r="G52" i="43" s="1"/>
  <c r="C51" i="46"/>
  <c r="G51" i="46" s="1"/>
  <c r="D52" i="46"/>
  <c r="C53" i="13" l="1"/>
  <c r="G53" i="13" s="1"/>
  <c r="D54" i="13"/>
  <c r="D58" i="45"/>
  <c r="C57" i="45"/>
  <c r="G57" i="45" s="1"/>
  <c r="D51" i="20"/>
  <c r="C50" i="20"/>
  <c r="G50" i="20" s="1"/>
  <c r="C52" i="21"/>
  <c r="G52" i="21" s="1"/>
  <c r="D53" i="21"/>
  <c r="D52" i="42"/>
  <c r="C51" i="42"/>
  <c r="G51" i="42" s="1"/>
  <c r="C50" i="19"/>
  <c r="G50" i="19" s="1"/>
  <c r="G51" i="19" s="1"/>
  <c r="D51" i="19"/>
  <c r="C51" i="19" s="1"/>
  <c r="D53" i="44"/>
  <c r="C52" i="44"/>
  <c r="G52" i="44" s="1"/>
  <c r="C52" i="46"/>
  <c r="G52" i="46" s="1"/>
  <c r="D53" i="46"/>
  <c r="D54" i="43"/>
  <c r="C53" i="43"/>
  <c r="G53" i="43" s="1"/>
  <c r="D59" i="45" l="1"/>
  <c r="C58" i="45"/>
  <c r="G58" i="45" s="1"/>
  <c r="C54" i="13"/>
  <c r="G54" i="13" s="1"/>
  <c r="D55" i="13"/>
  <c r="C52" i="42"/>
  <c r="G52" i="42" s="1"/>
  <c r="D53" i="42"/>
  <c r="D54" i="21"/>
  <c r="C53" i="21"/>
  <c r="G53" i="21" s="1"/>
  <c r="C51" i="20"/>
  <c r="G51" i="20" s="1"/>
  <c r="D52" i="20"/>
  <c r="G53" i="44"/>
  <c r="C53" i="44"/>
  <c r="D54" i="44"/>
  <c r="C53" i="46"/>
  <c r="G53" i="46" s="1"/>
  <c r="D54" i="46"/>
  <c r="C54" i="43"/>
  <c r="G54" i="43" s="1"/>
  <c r="D55" i="43"/>
  <c r="D56" i="13" l="1"/>
  <c r="C55" i="13"/>
  <c r="G55" i="13" s="1"/>
  <c r="C59" i="45"/>
  <c r="G59" i="45" s="1"/>
  <c r="D60" i="45"/>
  <c r="C52" i="20"/>
  <c r="G52" i="20" s="1"/>
  <c r="D53" i="20"/>
  <c r="C54" i="21"/>
  <c r="G54" i="21" s="1"/>
  <c r="D55" i="21"/>
  <c r="D54" i="42"/>
  <c r="C53" i="42"/>
  <c r="G53" i="42" s="1"/>
  <c r="C54" i="46"/>
  <c r="G54" i="46" s="1"/>
  <c r="D55" i="46"/>
  <c r="D56" i="43"/>
  <c r="C55" i="43"/>
  <c r="G55" i="43" s="1"/>
  <c r="D55" i="44"/>
  <c r="C54" i="44"/>
  <c r="G54" i="44" s="1"/>
  <c r="C60" i="45" l="1"/>
  <c r="G60" i="45" s="1"/>
  <c r="D61" i="45"/>
  <c r="D57" i="13"/>
  <c r="C56" i="13"/>
  <c r="G56" i="13" s="1"/>
  <c r="D54" i="20"/>
  <c r="C53" i="20"/>
  <c r="G53" i="20" s="1"/>
  <c r="D55" i="42"/>
  <c r="C54" i="42"/>
  <c r="G54" i="42" s="1"/>
  <c r="C55" i="21"/>
  <c r="G55" i="21" s="1"/>
  <c r="D56" i="21"/>
  <c r="C55" i="46"/>
  <c r="G55" i="46" s="1"/>
  <c r="D56" i="46"/>
  <c r="G56" i="43"/>
  <c r="D57" i="43"/>
  <c r="C56" i="43"/>
  <c r="D56" i="44"/>
  <c r="C55" i="44"/>
  <c r="G55" i="44" s="1"/>
  <c r="C57" i="13" l="1"/>
  <c r="G57" i="13" s="1"/>
  <c r="D58" i="13"/>
  <c r="D62" i="45"/>
  <c r="C61" i="45"/>
  <c r="G61" i="45" s="1"/>
  <c r="D55" i="20"/>
  <c r="C54" i="20"/>
  <c r="G54" i="20" s="1"/>
  <c r="C56" i="21"/>
  <c r="G56" i="21" s="1"/>
  <c r="D57" i="21"/>
  <c r="D56" i="42"/>
  <c r="C55" i="42"/>
  <c r="G55" i="42" s="1"/>
  <c r="C56" i="44"/>
  <c r="G56" i="44" s="1"/>
  <c r="D57" i="44"/>
  <c r="C56" i="46"/>
  <c r="G56" i="46" s="1"/>
  <c r="D57" i="46"/>
  <c r="C57" i="43"/>
  <c r="G57" i="43" s="1"/>
  <c r="D58" i="43"/>
  <c r="C62" i="45" l="1"/>
  <c r="G62" i="45" s="1"/>
  <c r="D63" i="45"/>
  <c r="D59" i="13"/>
  <c r="C58" i="13"/>
  <c r="G58" i="13" s="1"/>
  <c r="D57" i="42"/>
  <c r="C56" i="42"/>
  <c r="G56" i="42" s="1"/>
  <c r="D56" i="20"/>
  <c r="C55" i="20"/>
  <c r="G55" i="20" s="1"/>
  <c r="C57" i="21"/>
  <c r="G57" i="21" s="1"/>
  <c r="D58" i="21"/>
  <c r="C57" i="46"/>
  <c r="G57" i="46" s="1"/>
  <c r="D58" i="46"/>
  <c r="D59" i="43"/>
  <c r="C58" i="43"/>
  <c r="G58" i="43" s="1"/>
  <c r="C57" i="44"/>
  <c r="G57" i="44" s="1"/>
  <c r="D58" i="44"/>
  <c r="C59" i="13" l="1"/>
  <c r="G59" i="13" s="1"/>
  <c r="D60" i="13"/>
  <c r="D64" i="45"/>
  <c r="C63" i="45"/>
  <c r="G63" i="45" s="1"/>
  <c r="D57" i="20"/>
  <c r="C56" i="20"/>
  <c r="G56" i="20" s="1"/>
  <c r="D58" i="42"/>
  <c r="C57" i="42"/>
  <c r="G57" i="42" s="1"/>
  <c r="C58" i="21"/>
  <c r="G58" i="21" s="1"/>
  <c r="D59" i="21"/>
  <c r="C58" i="44"/>
  <c r="G58" i="44" s="1"/>
  <c r="D59" i="44"/>
  <c r="C59" i="43"/>
  <c r="G59" i="43" s="1"/>
  <c r="D60" i="43"/>
  <c r="C58" i="46"/>
  <c r="G58" i="46" s="1"/>
  <c r="D59" i="46"/>
  <c r="C64" i="45" l="1"/>
  <c r="G64" i="45" s="1"/>
  <c r="D65" i="45"/>
  <c r="C60" i="13"/>
  <c r="G60" i="13" s="1"/>
  <c r="D61" i="13"/>
  <c r="C58" i="42"/>
  <c r="G58" i="42" s="1"/>
  <c r="D59" i="42"/>
  <c r="D58" i="20"/>
  <c r="C57" i="20"/>
  <c r="G57" i="20" s="1"/>
  <c r="C59" i="21"/>
  <c r="G59" i="21" s="1"/>
  <c r="D60" i="21"/>
  <c r="D61" i="43"/>
  <c r="C60" i="43"/>
  <c r="G60" i="43" s="1"/>
  <c r="C59" i="46"/>
  <c r="G59" i="46" s="1"/>
  <c r="D60" i="46"/>
  <c r="D60" i="44"/>
  <c r="C59" i="44"/>
  <c r="G59" i="44" s="1"/>
  <c r="C61" i="13" l="1"/>
  <c r="G61" i="13" s="1"/>
  <c r="D62" i="13"/>
  <c r="C65" i="45"/>
  <c r="G65" i="45" s="1"/>
  <c r="D66" i="45"/>
  <c r="D61" i="21"/>
  <c r="C60" i="21"/>
  <c r="G60" i="21" s="1"/>
  <c r="D59" i="20"/>
  <c r="C58" i="20"/>
  <c r="G58" i="20" s="1"/>
  <c r="D60" i="42"/>
  <c r="C59" i="42"/>
  <c r="G59" i="42"/>
  <c r="G60" i="44"/>
  <c r="D61" i="46"/>
  <c r="C60" i="46"/>
  <c r="G60" i="46" s="1"/>
  <c r="C61" i="43"/>
  <c r="G61" i="43" s="1"/>
  <c r="D62" i="43"/>
  <c r="C60" i="44"/>
  <c r="D61" i="44"/>
  <c r="D67" i="45" l="1"/>
  <c r="C66" i="45"/>
  <c r="G66" i="45" s="1"/>
  <c r="C62" i="13"/>
  <c r="G62" i="13" s="1"/>
  <c r="D63" i="13"/>
  <c r="G59" i="20"/>
  <c r="C60" i="42"/>
  <c r="G60" i="42" s="1"/>
  <c r="D61" i="42"/>
  <c r="D60" i="20"/>
  <c r="C59" i="20"/>
  <c r="D62" i="21"/>
  <c r="C61" i="21"/>
  <c r="G61" i="21" s="1"/>
  <c r="D68" i="29"/>
  <c r="D62" i="44"/>
  <c r="C61" i="44"/>
  <c r="C68" i="29" s="1"/>
  <c r="C62" i="43"/>
  <c r="G62" i="43" s="1"/>
  <c r="D63" i="43"/>
  <c r="D62" i="46"/>
  <c r="C61" i="46"/>
  <c r="G61" i="46" s="1"/>
  <c r="C63" i="13" l="1"/>
  <c r="G63" i="13" s="1"/>
  <c r="D64" i="13"/>
  <c r="C67" i="45"/>
  <c r="G67" i="45" s="1"/>
  <c r="D68" i="45"/>
  <c r="C62" i="21"/>
  <c r="G62" i="21" s="1"/>
  <c r="D63" i="21"/>
  <c r="C60" i="20"/>
  <c r="D61" i="20"/>
  <c r="D62" i="42"/>
  <c r="C61" i="42"/>
  <c r="G61" i="42" s="1"/>
  <c r="G60" i="20"/>
  <c r="D63" i="44"/>
  <c r="C62" i="44"/>
  <c r="C63" i="43"/>
  <c r="G63" i="43" s="1"/>
  <c r="D64" i="43"/>
  <c r="D63" i="46"/>
  <c r="C62" i="46"/>
  <c r="G62" i="46" s="1"/>
  <c r="G61" i="44"/>
  <c r="D69" i="45" l="1"/>
  <c r="C68" i="45"/>
  <c r="G68" i="45" s="1"/>
  <c r="C64" i="13"/>
  <c r="G64" i="13" s="1"/>
  <c r="D65" i="13"/>
  <c r="G63" i="21"/>
  <c r="C63" i="21"/>
  <c r="D64" i="21"/>
  <c r="C62" i="42"/>
  <c r="G62" i="42" s="1"/>
  <c r="D63" i="42"/>
  <c r="C61" i="20"/>
  <c r="G61" i="20" s="1"/>
  <c r="D62" i="20"/>
  <c r="C63" i="44"/>
  <c r="D64" i="44"/>
  <c r="D64" i="46"/>
  <c r="C63" i="46"/>
  <c r="G63" i="46" s="1"/>
  <c r="G62" i="44"/>
  <c r="D65" i="43"/>
  <c r="C64" i="43"/>
  <c r="G64" i="43" s="1"/>
  <c r="C65" i="13" l="1"/>
  <c r="G65" i="13" s="1"/>
  <c r="D66" i="13"/>
  <c r="C69" i="45"/>
  <c r="G69" i="45" s="1"/>
  <c r="D70" i="45"/>
  <c r="G63" i="44"/>
  <c r="D63" i="20"/>
  <c r="C62" i="20"/>
  <c r="G62" i="20" s="1"/>
  <c r="D64" i="42"/>
  <c r="C63" i="42"/>
  <c r="G63" i="42" s="1"/>
  <c r="D65" i="21"/>
  <c r="C64" i="21"/>
  <c r="G64" i="21" s="1"/>
  <c r="C64" i="44"/>
  <c r="G64" i="44" s="1"/>
  <c r="D65" i="44"/>
  <c r="C65" i="43"/>
  <c r="G65" i="43" s="1"/>
  <c r="D66" i="43"/>
  <c r="D65" i="46"/>
  <c r="C64" i="46"/>
  <c r="G64" i="46" s="1"/>
  <c r="C66" i="13" l="1"/>
  <c r="G66" i="13" s="1"/>
  <c r="D67" i="13"/>
  <c r="D71" i="45"/>
  <c r="C70" i="45"/>
  <c r="G70" i="45" s="1"/>
  <c r="G65" i="21"/>
  <c r="D66" i="21"/>
  <c r="C65" i="21"/>
  <c r="D65" i="42"/>
  <c r="C64" i="42"/>
  <c r="G64" i="42" s="1"/>
  <c r="C63" i="20"/>
  <c r="G63" i="20" s="1"/>
  <c r="D64" i="20"/>
  <c r="C65" i="46"/>
  <c r="G65" i="46" s="1"/>
  <c r="D66" i="46"/>
  <c r="D66" i="44"/>
  <c r="C65" i="44"/>
  <c r="G65" i="44" s="1"/>
  <c r="C66" i="43"/>
  <c r="G66" i="43" s="1"/>
  <c r="D67" i="43"/>
  <c r="D72" i="45" l="1"/>
  <c r="C71" i="45"/>
  <c r="G71" i="45" s="1"/>
  <c r="C67" i="13"/>
  <c r="G67" i="13" s="1"/>
  <c r="D68" i="13"/>
  <c r="C65" i="42"/>
  <c r="G65" i="42" s="1"/>
  <c r="D66" i="42"/>
  <c r="D67" i="21"/>
  <c r="C66" i="21"/>
  <c r="G66" i="21"/>
  <c r="D65" i="20"/>
  <c r="C64" i="20"/>
  <c r="G64" i="20" s="1"/>
  <c r="D67" i="46"/>
  <c r="C66" i="46"/>
  <c r="G66" i="46" s="1"/>
  <c r="D68" i="43"/>
  <c r="C67" i="43"/>
  <c r="G67" i="43" s="1"/>
  <c r="C66" i="44"/>
  <c r="G66" i="44" s="1"/>
  <c r="D67" i="44"/>
  <c r="C68" i="13" l="1"/>
  <c r="D69" i="13"/>
  <c r="G68" i="13"/>
  <c r="C72" i="45"/>
  <c r="G72" i="45" s="1"/>
  <c r="D73" i="45"/>
  <c r="D67" i="42"/>
  <c r="C66" i="42"/>
  <c r="G66" i="42"/>
  <c r="C65" i="20"/>
  <c r="G65" i="20" s="1"/>
  <c r="D66" i="20"/>
  <c r="G67" i="21"/>
  <c r="D68" i="21"/>
  <c r="C67" i="21"/>
  <c r="C67" i="44"/>
  <c r="G67" i="44" s="1"/>
  <c r="D68" i="44"/>
  <c r="D69" i="43"/>
  <c r="C68" i="43"/>
  <c r="G68" i="43" s="1"/>
  <c r="D68" i="46"/>
  <c r="C67" i="46"/>
  <c r="G67" i="46" s="1"/>
  <c r="D74" i="45" l="1"/>
  <c r="C73" i="45"/>
  <c r="G73" i="45" s="1"/>
  <c r="C69" i="13"/>
  <c r="G69" i="13" s="1"/>
  <c r="D70" i="13"/>
  <c r="C68" i="21"/>
  <c r="D69" i="21"/>
  <c r="G68" i="21"/>
  <c r="D67" i="20"/>
  <c r="C66" i="20"/>
  <c r="G66" i="20" s="1"/>
  <c r="D68" i="42"/>
  <c r="C67" i="42"/>
  <c r="G67" i="42" s="1"/>
  <c r="D70" i="43"/>
  <c r="C69" i="43"/>
  <c r="G69" i="43" s="1"/>
  <c r="D69" i="46"/>
  <c r="C68" i="46"/>
  <c r="G68" i="46" s="1"/>
  <c r="D69" i="44"/>
  <c r="C68" i="44"/>
  <c r="G68" i="44" s="1"/>
  <c r="C70" i="13" l="1"/>
  <c r="G70" i="13" s="1"/>
  <c r="D71" i="13"/>
  <c r="D75" i="45"/>
  <c r="C74" i="45"/>
  <c r="G74" i="45" s="1"/>
  <c r="C68" i="42"/>
  <c r="G68" i="42" s="1"/>
  <c r="D69" i="42"/>
  <c r="C67" i="20"/>
  <c r="G67" i="20" s="1"/>
  <c r="D68" i="20"/>
  <c r="D70" i="21"/>
  <c r="C69" i="21"/>
  <c r="G69" i="21" s="1"/>
  <c r="D70" i="46"/>
  <c r="C69" i="46"/>
  <c r="G69" i="46" s="1"/>
  <c r="D71" i="43"/>
  <c r="C70" i="43"/>
  <c r="G70" i="43" s="1"/>
  <c r="D70" i="44"/>
  <c r="C69" i="44"/>
  <c r="G69" i="44" s="1"/>
  <c r="C75" i="45" l="1"/>
  <c r="G75" i="45" s="1"/>
  <c r="D76" i="45"/>
  <c r="D72" i="13"/>
  <c r="C71" i="13"/>
  <c r="G71" i="13" s="1"/>
  <c r="D71" i="21"/>
  <c r="C70" i="21"/>
  <c r="G70" i="21" s="1"/>
  <c r="D69" i="20"/>
  <c r="C68" i="20"/>
  <c r="G68" i="20" s="1"/>
  <c r="D70" i="42"/>
  <c r="C69" i="42"/>
  <c r="G69" i="42" s="1"/>
  <c r="C70" i="44"/>
  <c r="G70" i="44" s="1"/>
  <c r="D71" i="44"/>
  <c r="D71" i="46"/>
  <c r="C70" i="46"/>
  <c r="G70" i="46" s="1"/>
  <c r="C71" i="43"/>
  <c r="G71" i="43" s="1"/>
  <c r="D72" i="43"/>
  <c r="D73" i="13" l="1"/>
  <c r="C72" i="13"/>
  <c r="G72" i="13" s="1"/>
  <c r="D77" i="45"/>
  <c r="C76" i="45"/>
  <c r="G76" i="45" s="1"/>
  <c r="D70" i="20"/>
  <c r="C69" i="20"/>
  <c r="G69" i="20" s="1"/>
  <c r="D72" i="21"/>
  <c r="C71" i="21"/>
  <c r="G71" i="21" s="1"/>
  <c r="D71" i="42"/>
  <c r="C70" i="42"/>
  <c r="G70" i="42" s="1"/>
  <c r="D72" i="46"/>
  <c r="C71" i="46"/>
  <c r="G71" i="46" s="1"/>
  <c r="C71" i="44"/>
  <c r="G71" i="44" s="1"/>
  <c r="D72" i="44"/>
  <c r="C72" i="43"/>
  <c r="G72" i="43" s="1"/>
  <c r="D73" i="43"/>
  <c r="D78" i="45" l="1"/>
  <c r="C77" i="45"/>
  <c r="G77" i="45" s="1"/>
  <c r="C73" i="13"/>
  <c r="G73" i="13" s="1"/>
  <c r="D74" i="13"/>
  <c r="C71" i="42"/>
  <c r="G71" i="42" s="1"/>
  <c r="D72" i="42"/>
  <c r="D73" i="21"/>
  <c r="C72" i="21"/>
  <c r="G72" i="21" s="1"/>
  <c r="C70" i="20"/>
  <c r="G70" i="20" s="1"/>
  <c r="D71" i="20"/>
  <c r="D74" i="43"/>
  <c r="C73" i="43"/>
  <c r="G73" i="43" s="1"/>
  <c r="D73" i="44"/>
  <c r="C72" i="44"/>
  <c r="G72" i="44" s="1"/>
  <c r="C72" i="46"/>
  <c r="G72" i="46" s="1"/>
  <c r="D73" i="46"/>
  <c r="D75" i="13" l="1"/>
  <c r="C74" i="13"/>
  <c r="G74" i="13" s="1"/>
  <c r="C78" i="45"/>
  <c r="G78" i="45" s="1"/>
  <c r="D79" i="45"/>
  <c r="C72" i="42"/>
  <c r="G72" i="42" s="1"/>
  <c r="D73" i="42"/>
  <c r="D72" i="20"/>
  <c r="C71" i="20"/>
  <c r="G71" i="20" s="1"/>
  <c r="D74" i="21"/>
  <c r="C73" i="21"/>
  <c r="G73" i="21" s="1"/>
  <c r="G73" i="44"/>
  <c r="C73" i="46"/>
  <c r="G73" i="46" s="1"/>
  <c r="D74" i="46"/>
  <c r="C73" i="44"/>
  <c r="D74" i="44"/>
  <c r="D75" i="43"/>
  <c r="C74" i="43"/>
  <c r="G74" i="43" s="1"/>
  <c r="D80" i="45" l="1"/>
  <c r="C79" i="45"/>
  <c r="G79" i="45" s="1"/>
  <c r="C75" i="13"/>
  <c r="G75" i="13" s="1"/>
  <c r="D76" i="13"/>
  <c r="D75" i="21"/>
  <c r="C74" i="21"/>
  <c r="G74" i="21" s="1"/>
  <c r="C73" i="42"/>
  <c r="G73" i="42" s="1"/>
  <c r="D74" i="42"/>
  <c r="D73" i="20"/>
  <c r="C72" i="20"/>
  <c r="G72" i="20" s="1"/>
  <c r="C74" i="46"/>
  <c r="G74" i="46" s="1"/>
  <c r="D75" i="46"/>
  <c r="D75" i="44"/>
  <c r="C74" i="44"/>
  <c r="G74" i="44" s="1"/>
  <c r="C75" i="43"/>
  <c r="G75" i="43" s="1"/>
  <c r="D76" i="43"/>
  <c r="C76" i="13" l="1"/>
  <c r="G76" i="13" s="1"/>
  <c r="D77" i="13"/>
  <c r="D81" i="45"/>
  <c r="C80" i="45"/>
  <c r="G80" i="45" s="1"/>
  <c r="C73" i="20"/>
  <c r="G73" i="20" s="1"/>
  <c r="D74" i="20"/>
  <c r="C74" i="42"/>
  <c r="G74" i="42" s="1"/>
  <c r="D75" i="42"/>
  <c r="C75" i="21"/>
  <c r="G75" i="21" s="1"/>
  <c r="D76" i="21"/>
  <c r="C75" i="44"/>
  <c r="G75" i="44" s="1"/>
  <c r="D76" i="44"/>
  <c r="C75" i="46"/>
  <c r="G75" i="46" s="1"/>
  <c r="D76" i="46"/>
  <c r="D77" i="43"/>
  <c r="C76" i="43"/>
  <c r="G76" i="43" s="1"/>
  <c r="D82" i="45" l="1"/>
  <c r="C81" i="45"/>
  <c r="G81" i="45" s="1"/>
  <c r="C77" i="13"/>
  <c r="G77" i="13" s="1"/>
  <c r="D78" i="13"/>
  <c r="C75" i="42"/>
  <c r="G75" i="42" s="1"/>
  <c r="D76" i="42"/>
  <c r="C74" i="20"/>
  <c r="G74" i="20" s="1"/>
  <c r="D75" i="20"/>
  <c r="D77" i="21"/>
  <c r="C76" i="21"/>
  <c r="G76" i="21" s="1"/>
  <c r="C77" i="43"/>
  <c r="G77" i="43" s="1"/>
  <c r="D78" i="43"/>
  <c r="D77" i="46"/>
  <c r="C76" i="46"/>
  <c r="G76" i="46" s="1"/>
  <c r="D77" i="44"/>
  <c r="C76" i="44"/>
  <c r="G76" i="44" s="1"/>
  <c r="C78" i="13" l="1"/>
  <c r="G78" i="13" s="1"/>
  <c r="D79" i="13"/>
  <c r="C82" i="45"/>
  <c r="G82" i="45" s="1"/>
  <c r="D83" i="45"/>
  <c r="D78" i="21"/>
  <c r="C77" i="21"/>
  <c r="G77" i="21" s="1"/>
  <c r="D76" i="20"/>
  <c r="C75" i="20"/>
  <c r="G75" i="20" s="1"/>
  <c r="D77" i="42"/>
  <c r="C76" i="42"/>
  <c r="G76" i="42" s="1"/>
  <c r="C77" i="46"/>
  <c r="G77" i="46" s="1"/>
  <c r="D78" i="46"/>
  <c r="D79" i="43"/>
  <c r="C78" i="43"/>
  <c r="G78" i="43" s="1"/>
  <c r="C77" i="44"/>
  <c r="G77" i="44" s="1"/>
  <c r="D78" i="44"/>
  <c r="C83" i="45" l="1"/>
  <c r="G83" i="45" s="1"/>
  <c r="D84" i="45"/>
  <c r="C79" i="13"/>
  <c r="G79" i="13" s="1"/>
  <c r="D80" i="13"/>
  <c r="C78" i="21"/>
  <c r="G78" i="21" s="1"/>
  <c r="D79" i="21"/>
  <c r="D77" i="20"/>
  <c r="C76" i="20"/>
  <c r="G76" i="20" s="1"/>
  <c r="D78" i="42"/>
  <c r="C77" i="42"/>
  <c r="G77" i="42" s="1"/>
  <c r="C79" i="43"/>
  <c r="G79" i="43" s="1"/>
  <c r="D80" i="43"/>
  <c r="C78" i="46"/>
  <c r="G78" i="46" s="1"/>
  <c r="D79" i="46"/>
  <c r="C78" i="44"/>
  <c r="G78" i="44" s="1"/>
  <c r="D79" i="44"/>
  <c r="C80" i="13" l="1"/>
  <c r="D81" i="13"/>
  <c r="D85" i="45"/>
  <c r="C84" i="45"/>
  <c r="G84" i="45" s="1"/>
  <c r="G80" i="13"/>
  <c r="D79" i="42"/>
  <c r="C78" i="42"/>
  <c r="G78" i="42" s="1"/>
  <c r="D78" i="20"/>
  <c r="C77" i="20"/>
  <c r="G77" i="20" s="1"/>
  <c r="D80" i="21"/>
  <c r="C79" i="21"/>
  <c r="G79" i="21" s="1"/>
  <c r="C79" i="44"/>
  <c r="G79" i="44" s="1"/>
  <c r="D80" i="44"/>
  <c r="C80" i="43"/>
  <c r="G80" i="43" s="1"/>
  <c r="D81" i="43"/>
  <c r="D80" i="46"/>
  <c r="C79" i="46"/>
  <c r="G79" i="46" s="1"/>
  <c r="D86" i="45" l="1"/>
  <c r="C85" i="45"/>
  <c r="G85" i="45" s="1"/>
  <c r="C81" i="13"/>
  <c r="G81" i="13" s="1"/>
  <c r="D82" i="13"/>
  <c r="G78" i="20"/>
  <c r="D81" i="21"/>
  <c r="C80" i="21"/>
  <c r="G80" i="21" s="1"/>
  <c r="D79" i="20"/>
  <c r="C78" i="20"/>
  <c r="C79" i="42"/>
  <c r="G79" i="42" s="1"/>
  <c r="D80" i="42"/>
  <c r="C81" i="43"/>
  <c r="G81" i="43" s="1"/>
  <c r="D82" i="43"/>
  <c r="D81" i="44"/>
  <c r="C80" i="44"/>
  <c r="G80" i="44" s="1"/>
  <c r="D81" i="46"/>
  <c r="C80" i="46"/>
  <c r="G80" i="46" s="1"/>
  <c r="D83" i="13" l="1"/>
  <c r="C82" i="13"/>
  <c r="G82" i="13" s="1"/>
  <c r="D87" i="45"/>
  <c r="C86" i="45"/>
  <c r="G86" i="45" s="1"/>
  <c r="C80" i="42"/>
  <c r="G80" i="42" s="1"/>
  <c r="D81" i="42"/>
  <c r="D82" i="21"/>
  <c r="C81" i="21"/>
  <c r="G81" i="21" s="1"/>
  <c r="C79" i="20"/>
  <c r="G79" i="20" s="1"/>
  <c r="D80" i="20"/>
  <c r="C81" i="44"/>
  <c r="G81" i="44" s="1"/>
  <c r="D82" i="44"/>
  <c r="D82" i="46"/>
  <c r="C81" i="46"/>
  <c r="G81" i="46" s="1"/>
  <c r="D83" i="43"/>
  <c r="C82" i="43"/>
  <c r="G82" i="43" s="1"/>
  <c r="C87" i="45" l="1"/>
  <c r="G87" i="45" s="1"/>
  <c r="D88" i="45"/>
  <c r="C83" i="13"/>
  <c r="G83" i="13" s="1"/>
  <c r="D84" i="13"/>
  <c r="G82" i="21"/>
  <c r="C82" i="21"/>
  <c r="D83" i="21"/>
  <c r="D82" i="42"/>
  <c r="C81" i="42"/>
  <c r="G81" i="42" s="1"/>
  <c r="C80" i="20"/>
  <c r="G80" i="20" s="1"/>
  <c r="D81" i="20"/>
  <c r="C82" i="46"/>
  <c r="G82" i="46" s="1"/>
  <c r="D83" i="46"/>
  <c r="C82" i="44"/>
  <c r="G82" i="44" s="1"/>
  <c r="D83" i="44"/>
  <c r="C83" i="43"/>
  <c r="G83" i="43" s="1"/>
  <c r="D84" i="43"/>
  <c r="C88" i="45" l="1"/>
  <c r="G88" i="45" s="1"/>
  <c r="D89" i="45"/>
  <c r="D85" i="13"/>
  <c r="C84" i="13"/>
  <c r="G84" i="13" s="1"/>
  <c r="D82" i="20"/>
  <c r="C81" i="20"/>
  <c r="G81" i="20" s="1"/>
  <c r="D83" i="42"/>
  <c r="C82" i="42"/>
  <c r="G82" i="42" s="1"/>
  <c r="C83" i="21"/>
  <c r="G83" i="21" s="1"/>
  <c r="D84" i="21"/>
  <c r="C83" i="44"/>
  <c r="G83" i="44" s="1"/>
  <c r="D84" i="44"/>
  <c r="C84" i="43"/>
  <c r="G84" i="43" s="1"/>
  <c r="D85" i="43"/>
  <c r="C83" i="46"/>
  <c r="G83" i="46" s="1"/>
  <c r="D84" i="46"/>
  <c r="D86" i="13" l="1"/>
  <c r="C85" i="13"/>
  <c r="G85" i="13" s="1"/>
  <c r="C89" i="45"/>
  <c r="G89" i="45" s="1"/>
  <c r="D90" i="45"/>
  <c r="C90" i="45" s="1"/>
  <c r="G82" i="20"/>
  <c r="D84" i="42"/>
  <c r="C83" i="42"/>
  <c r="G83" i="42" s="1"/>
  <c r="D85" i="21"/>
  <c r="C84" i="21"/>
  <c r="G84" i="21" s="1"/>
  <c r="C82" i="20"/>
  <c r="D83" i="20"/>
  <c r="C85" i="43"/>
  <c r="G85" i="43" s="1"/>
  <c r="D86" i="43"/>
  <c r="C84" i="46"/>
  <c r="G84" i="46" s="1"/>
  <c r="D85" i="46"/>
  <c r="C84" i="44"/>
  <c r="D85" i="44"/>
  <c r="G84" i="44"/>
  <c r="G90" i="45" l="1"/>
  <c r="D87" i="13"/>
  <c r="C86" i="13"/>
  <c r="G86" i="13" s="1"/>
  <c r="D85" i="42"/>
  <c r="C84" i="42"/>
  <c r="G84" i="42" s="1"/>
  <c r="G83" i="20"/>
  <c r="D86" i="21"/>
  <c r="C85" i="21"/>
  <c r="G85" i="21" s="1"/>
  <c r="D84" i="20"/>
  <c r="C83" i="20"/>
  <c r="C85" i="46"/>
  <c r="G85" i="46" s="1"/>
  <c r="D86" i="46"/>
  <c r="D86" i="44"/>
  <c r="C85" i="44"/>
  <c r="G85" i="44" s="1"/>
  <c r="C86" i="43"/>
  <c r="G86" i="43" s="1"/>
  <c r="D87" i="43"/>
  <c r="D88" i="13" l="1"/>
  <c r="C87" i="13"/>
  <c r="G87" i="13" s="1"/>
  <c r="C84" i="20"/>
  <c r="D85" i="20"/>
  <c r="D87" i="21"/>
  <c r="C86" i="21"/>
  <c r="G86" i="21" s="1"/>
  <c r="G84" i="20"/>
  <c r="C85" i="42"/>
  <c r="G85" i="42" s="1"/>
  <c r="D86" i="42"/>
  <c r="C86" i="44"/>
  <c r="G86" i="44" s="1"/>
  <c r="D87" i="44"/>
  <c r="C87" i="43"/>
  <c r="G87" i="43" s="1"/>
  <c r="D88" i="43"/>
  <c r="D87" i="46"/>
  <c r="C86" i="46"/>
  <c r="G86" i="46" s="1"/>
  <c r="D89" i="13" l="1"/>
  <c r="C88" i="13"/>
  <c r="G88" i="13" s="1"/>
  <c r="D86" i="20"/>
  <c r="C86" i="20" s="1"/>
  <c r="C85" i="20"/>
  <c r="G85" i="20"/>
  <c r="C87" i="21"/>
  <c r="G87" i="21" s="1"/>
  <c r="D88" i="21"/>
  <c r="C86" i="42"/>
  <c r="G86" i="42" s="1"/>
  <c r="D87" i="42"/>
  <c r="D89" i="43"/>
  <c r="C88" i="43"/>
  <c r="G88" i="43" s="1"/>
  <c r="D88" i="46"/>
  <c r="C87" i="46"/>
  <c r="G87" i="46" s="1"/>
  <c r="D88" i="44"/>
  <c r="C87" i="44"/>
  <c r="G87" i="44" s="1"/>
  <c r="D90" i="13" l="1"/>
  <c r="C90" i="13" s="1"/>
  <c r="C89" i="13"/>
  <c r="G89" i="13" s="1"/>
  <c r="G90" i="13" s="1"/>
  <c r="C88" i="21"/>
  <c r="G88" i="21" s="1"/>
  <c r="D89" i="21"/>
  <c r="G86" i="20"/>
  <c r="D88" i="42"/>
  <c r="C87" i="42"/>
  <c r="G87" i="42" s="1"/>
  <c r="G88" i="44"/>
  <c r="D89" i="46"/>
  <c r="C88" i="46"/>
  <c r="G88" i="46" s="1"/>
  <c r="C89" i="43"/>
  <c r="G89" i="43" s="1"/>
  <c r="D90" i="43"/>
  <c r="C90" i="43" s="1"/>
  <c r="C88" i="44"/>
  <c r="D89" i="44"/>
  <c r="D89" i="42" l="1"/>
  <c r="C89" i="42" s="1"/>
  <c r="C88" i="42"/>
  <c r="G88" i="42" s="1"/>
  <c r="G90" i="43"/>
  <c r="D90" i="21"/>
  <c r="C89" i="21"/>
  <c r="G89" i="21" s="1"/>
  <c r="C89" i="44"/>
  <c r="G89" i="44" s="1"/>
  <c r="D90" i="44"/>
  <c r="C90" i="44" s="1"/>
  <c r="D90" i="46"/>
  <c r="C89" i="46"/>
  <c r="G89" i="46" s="1"/>
  <c r="G89" i="42" l="1"/>
  <c r="C90" i="21"/>
  <c r="G90" i="21" s="1"/>
  <c r="D91" i="21"/>
  <c r="D90" i="42"/>
  <c r="C90" i="42" s="1"/>
  <c r="G90" i="42" s="1"/>
  <c r="G90" i="44"/>
  <c r="C90" i="46"/>
  <c r="G90" i="46" s="1"/>
  <c r="D91" i="46"/>
  <c r="C91" i="21" l="1"/>
  <c r="G91" i="21" s="1"/>
  <c r="D92" i="21"/>
  <c r="D92" i="46"/>
  <c r="C91" i="46"/>
  <c r="G91" i="46" s="1"/>
  <c r="C92" i="21" l="1"/>
  <c r="G92" i="21" s="1"/>
  <c r="D93" i="21"/>
  <c r="D93" i="46"/>
  <c r="C92" i="46"/>
  <c r="G92" i="46" s="1"/>
  <c r="D94" i="21" l="1"/>
  <c r="C93" i="21"/>
  <c r="G93" i="21" s="1"/>
  <c r="D94" i="46"/>
  <c r="C93" i="46"/>
  <c r="G93" i="46" s="1"/>
  <c r="C94" i="21" l="1"/>
  <c r="G94" i="21" s="1"/>
  <c r="D95" i="21"/>
  <c r="C94" i="46"/>
  <c r="G94" i="46" s="1"/>
  <c r="D95" i="46"/>
  <c r="D96" i="21" l="1"/>
  <c r="C95" i="21"/>
  <c r="G95" i="21" s="1"/>
  <c r="D96" i="46"/>
  <c r="C95" i="46"/>
  <c r="G95" i="46" s="1"/>
  <c r="D97" i="21" l="1"/>
  <c r="C96" i="21"/>
  <c r="G96" i="21" s="1"/>
  <c r="C96" i="46"/>
  <c r="G96" i="46" s="1"/>
  <c r="D97" i="46"/>
  <c r="D98" i="21" l="1"/>
  <c r="C97" i="21"/>
  <c r="G97" i="21" s="1"/>
  <c r="C97" i="46"/>
  <c r="G97" i="46" s="1"/>
  <c r="D98" i="46"/>
  <c r="C98" i="21" l="1"/>
  <c r="G98" i="21" s="1"/>
  <c r="D99" i="21"/>
  <c r="C98" i="46"/>
  <c r="G98" i="46" s="1"/>
  <c r="D99" i="46"/>
  <c r="C99" i="21" l="1"/>
  <c r="G99" i="21" s="1"/>
  <c r="D100" i="21"/>
  <c r="D100" i="46"/>
  <c r="C99" i="46"/>
  <c r="G99" i="46" s="1"/>
  <c r="D101" i="21" l="1"/>
  <c r="C100" i="21"/>
  <c r="G100" i="21" s="1"/>
  <c r="D101" i="46"/>
  <c r="C100" i="46"/>
  <c r="G100" i="46" s="1"/>
  <c r="C101" i="21" l="1"/>
  <c r="G101" i="21" s="1"/>
  <c r="D102" i="21"/>
  <c r="C101" i="46"/>
  <c r="G101" i="46" s="1"/>
  <c r="D102" i="46"/>
  <c r="C102" i="21" l="1"/>
  <c r="G102" i="21" s="1"/>
  <c r="D103" i="21"/>
  <c r="C102" i="46"/>
  <c r="G102" i="46" s="1"/>
  <c r="D103" i="46"/>
  <c r="C103" i="21" l="1"/>
  <c r="G103" i="21" s="1"/>
  <c r="D104" i="21"/>
  <c r="D104" i="46"/>
  <c r="C103" i="46"/>
  <c r="G103" i="46" s="1"/>
  <c r="D105" i="21" l="1"/>
  <c r="C104" i="21"/>
  <c r="G104" i="21" s="1"/>
  <c r="D105" i="46"/>
  <c r="C104" i="46"/>
  <c r="G104" i="46" s="1"/>
  <c r="C105" i="21" l="1"/>
  <c r="G105" i="21" s="1"/>
  <c r="D106" i="21"/>
  <c r="D106" i="46"/>
  <c r="C105" i="46"/>
  <c r="G105" i="46" s="1"/>
  <c r="C106" i="21" l="1"/>
  <c r="G106" i="21" s="1"/>
  <c r="D107" i="21"/>
  <c r="C106" i="46"/>
  <c r="G106" i="46" s="1"/>
  <c r="D107" i="46"/>
  <c r="D108" i="21" l="1"/>
  <c r="C107" i="21"/>
  <c r="G107" i="21" s="1"/>
  <c r="D108" i="46"/>
  <c r="C107" i="46"/>
  <c r="G107" i="46" s="1"/>
  <c r="D109" i="21" l="1"/>
  <c r="C108" i="21"/>
  <c r="G108" i="21" s="1"/>
  <c r="D109" i="46"/>
  <c r="C108" i="46"/>
  <c r="G108" i="46" s="1"/>
  <c r="D110" i="21" l="1"/>
  <c r="C109" i="21"/>
  <c r="G109" i="21" s="1"/>
  <c r="C109" i="46"/>
  <c r="G109" i="46" s="1"/>
  <c r="D110" i="46"/>
  <c r="D111" i="21" l="1"/>
  <c r="C110" i="21"/>
  <c r="G110" i="21" s="1"/>
  <c r="C110" i="46"/>
  <c r="G110" i="46" s="1"/>
  <c r="D111" i="46"/>
  <c r="C111" i="21" l="1"/>
  <c r="G111" i="21" s="1"/>
  <c r="D112" i="21"/>
  <c r="D112" i="46"/>
  <c r="C111" i="46"/>
  <c r="G111" i="46" s="1"/>
  <c r="C112" i="21" l="1"/>
  <c r="G112" i="21" s="1"/>
  <c r="D113" i="21"/>
  <c r="D113" i="46"/>
  <c r="C112" i="46"/>
  <c r="G112" i="46" s="1"/>
  <c r="D114" i="21" l="1"/>
  <c r="C113" i="21"/>
  <c r="G113" i="21" s="1"/>
  <c r="D114" i="46"/>
  <c r="C113" i="46"/>
  <c r="G113" i="46" s="1"/>
  <c r="D115" i="21" l="1"/>
  <c r="C114" i="21"/>
  <c r="G114" i="21" s="1"/>
  <c r="C114" i="46"/>
  <c r="G114" i="46" s="1"/>
  <c r="D115" i="46"/>
  <c r="C115" i="21" l="1"/>
  <c r="G115" i="21" s="1"/>
  <c r="D116" i="21"/>
  <c r="D116" i="46"/>
  <c r="C115" i="46"/>
  <c r="G115" i="46" s="1"/>
  <c r="C116" i="21" l="1"/>
  <c r="G116" i="21" s="1"/>
  <c r="D117" i="21"/>
  <c r="C116" i="46"/>
  <c r="G116" i="46" s="1"/>
  <c r="D117" i="46"/>
  <c r="D118" i="21" l="1"/>
  <c r="C117" i="21"/>
  <c r="G117" i="21" s="1"/>
  <c r="D118" i="46"/>
  <c r="C117" i="46"/>
  <c r="G117" i="46" s="1"/>
  <c r="D119" i="21" l="1"/>
  <c r="C118" i="21"/>
  <c r="G118" i="21" s="1"/>
  <c r="C118" i="46"/>
  <c r="G118" i="46" s="1"/>
  <c r="D119" i="46"/>
  <c r="D120" i="21" l="1"/>
  <c r="C119" i="21"/>
  <c r="G119" i="21" s="1"/>
  <c r="D120" i="46"/>
  <c r="C119" i="46"/>
  <c r="G119" i="46" s="1"/>
  <c r="D121" i="21" l="1"/>
  <c r="C120" i="21"/>
  <c r="G120" i="21" s="1"/>
  <c r="C120" i="46"/>
  <c r="G120" i="46" s="1"/>
  <c r="D121" i="46"/>
  <c r="D122" i="21" l="1"/>
  <c r="C121" i="21"/>
  <c r="G121" i="21" s="1"/>
  <c r="C121" i="46"/>
  <c r="G121" i="46" s="1"/>
  <c r="D122" i="46"/>
  <c r="D123" i="21" l="1"/>
  <c r="C122" i="21"/>
  <c r="G122" i="21" s="1"/>
  <c r="C122" i="46"/>
  <c r="G122" i="46" s="1"/>
  <c r="D123" i="46"/>
  <c r="C123" i="21" l="1"/>
  <c r="G123" i="21" s="1"/>
  <c r="D124" i="21"/>
  <c r="D124" i="46"/>
  <c r="C123" i="46"/>
  <c r="G123" i="46" s="1"/>
  <c r="D125" i="21" l="1"/>
  <c r="C124" i="21"/>
  <c r="G124" i="21" s="1"/>
  <c r="C124" i="46"/>
  <c r="G124" i="46" s="1"/>
  <c r="D125" i="46"/>
  <c r="D126" i="21" l="1"/>
  <c r="C125" i="21"/>
  <c r="G125" i="21" s="1"/>
  <c r="C125" i="46"/>
  <c r="G125" i="46" s="1"/>
  <c r="D126" i="46"/>
  <c r="C126" i="21" l="1"/>
  <c r="G126" i="21" s="1"/>
  <c r="D127" i="21"/>
  <c r="C126" i="46"/>
  <c r="G126" i="46" s="1"/>
  <c r="D127" i="46"/>
  <c r="C127" i="21" l="1"/>
  <c r="G127" i="21" s="1"/>
  <c r="D128" i="21"/>
  <c r="D128" i="46"/>
  <c r="C127" i="46"/>
  <c r="G127" i="46" s="1"/>
  <c r="C128" i="21" l="1"/>
  <c r="G128" i="21" s="1"/>
  <c r="D129" i="21"/>
  <c r="C128" i="46"/>
  <c r="G128" i="46" s="1"/>
  <c r="D129" i="46"/>
  <c r="C129" i="21" l="1"/>
  <c r="G129" i="21" s="1"/>
  <c r="D130" i="21"/>
  <c r="C129" i="46"/>
  <c r="G129" i="46" s="1"/>
  <c r="D130" i="46"/>
  <c r="C130" i="21" l="1"/>
  <c r="G130" i="21" s="1"/>
  <c r="D131" i="21"/>
  <c r="C130" i="46"/>
  <c r="G130" i="46" s="1"/>
  <c r="D131" i="46"/>
  <c r="C131" i="21" l="1"/>
  <c r="G131" i="21" s="1"/>
  <c r="D132" i="21"/>
  <c r="D132" i="46"/>
  <c r="C131" i="46"/>
  <c r="G131" i="46" s="1"/>
  <c r="C132" i="21" l="1"/>
  <c r="G132" i="21" s="1"/>
  <c r="D133" i="21"/>
  <c r="D133" i="46"/>
  <c r="C132" i="46"/>
  <c r="G132" i="46" s="1"/>
  <c r="D134" i="21" l="1"/>
  <c r="C133" i="21"/>
  <c r="G133" i="21" s="1"/>
  <c r="D134" i="46"/>
  <c r="C133" i="46"/>
  <c r="G133" i="46" s="1"/>
  <c r="D135" i="21" l="1"/>
  <c r="C134" i="21"/>
  <c r="G134" i="21" s="1"/>
  <c r="C134" i="46"/>
  <c r="G134" i="46" s="1"/>
  <c r="D135" i="46"/>
  <c r="D136" i="21" l="1"/>
  <c r="C135" i="21"/>
  <c r="G135" i="21" s="1"/>
  <c r="D136" i="46"/>
  <c r="C135" i="46"/>
  <c r="G135" i="46" s="1"/>
  <c r="C136" i="21" l="1"/>
  <c r="G136" i="21" s="1"/>
  <c r="D137" i="21"/>
  <c r="C136" i="46"/>
  <c r="G136" i="46" s="1"/>
  <c r="D137" i="46"/>
  <c r="C137" i="21" l="1"/>
  <c r="G137" i="21" s="1"/>
  <c r="D138" i="21"/>
  <c r="D138" i="46"/>
  <c r="C137" i="46"/>
  <c r="G137" i="46" s="1"/>
  <c r="C138" i="21" l="1"/>
  <c r="G138" i="21" s="1"/>
  <c r="D139" i="21"/>
  <c r="C138" i="46"/>
  <c r="D139" i="46"/>
  <c r="G138" i="46"/>
  <c r="C139" i="21" l="1"/>
  <c r="G139" i="21" s="1"/>
  <c r="D140" i="21"/>
  <c r="D140" i="46"/>
  <c r="C139" i="46"/>
  <c r="G139" i="46" s="1"/>
  <c r="G140" i="21" l="1"/>
  <c r="D141" i="21"/>
  <c r="C140" i="21"/>
  <c r="C140" i="46"/>
  <c r="G140" i="46" s="1"/>
  <c r="D141" i="46"/>
  <c r="C141" i="21" l="1"/>
  <c r="D142" i="21"/>
  <c r="G141" i="21"/>
  <c r="D142" i="46"/>
  <c r="C141" i="46"/>
  <c r="G141" i="46" s="1"/>
  <c r="D143" i="21" l="1"/>
  <c r="C142" i="21"/>
  <c r="G142" i="21" s="1"/>
  <c r="C142" i="46"/>
  <c r="G142" i="46" s="1"/>
  <c r="D143" i="46"/>
  <c r="C143" i="21" l="1"/>
  <c r="G143" i="21" s="1"/>
  <c r="D144" i="21"/>
  <c r="D144" i="46"/>
  <c r="C143" i="46"/>
  <c r="G143" i="46" s="1"/>
  <c r="C144" i="21" l="1"/>
  <c r="G144" i="21" s="1"/>
  <c r="G145" i="21" s="1"/>
  <c r="D145" i="21"/>
  <c r="C145" i="21" s="1"/>
  <c r="C144" i="46"/>
  <c r="G144" i="46" s="1"/>
  <c r="D145" i="46"/>
  <c r="D146" i="46" l="1"/>
  <c r="C145" i="46"/>
  <c r="G145" i="46" s="1"/>
  <c r="C146" i="46" l="1"/>
  <c r="G146" i="46" s="1"/>
  <c r="D147" i="46"/>
  <c r="D148" i="46" l="1"/>
  <c r="C147" i="46"/>
  <c r="G147" i="46" s="1"/>
  <c r="C148" i="46" l="1"/>
  <c r="G148" i="46" s="1"/>
  <c r="D149" i="46"/>
  <c r="C149" i="46" s="1"/>
  <c r="G149"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Sofia V. Palmiano</author>
  </authors>
  <commentList>
    <comment ref="K5" authorId="0" shapeId="0" xr:uid="{00000000-0006-0000-0000-000001000000}">
      <text>
        <r>
          <rPr>
            <b/>
            <sz val="9"/>
            <color indexed="81"/>
            <rFont val="Tahoma"/>
            <family val="2"/>
          </rPr>
          <t>Adrienne Sofia V. Palmiano:</t>
        </r>
        <r>
          <rPr>
            <sz val="9"/>
            <color indexed="81"/>
            <rFont val="Tahoma"/>
            <family val="2"/>
          </rPr>
          <t xml:space="preserve">
3 tagged as available on Chard / Temporary Hold on SAP
6 Available but tagged as Temporary Hold on SAP</t>
        </r>
      </text>
    </comment>
    <comment ref="L5" authorId="0" shapeId="0" xr:uid="{00000000-0006-0000-0000-000002000000}">
      <text>
        <r>
          <rPr>
            <b/>
            <sz val="9"/>
            <color indexed="81"/>
            <rFont val="Tahoma"/>
            <family val="2"/>
          </rPr>
          <t>Adrienne Sofia V. Palmiano:</t>
        </r>
        <r>
          <rPr>
            <sz val="9"/>
            <color indexed="81"/>
            <rFont val="Tahoma"/>
            <family val="2"/>
          </rPr>
          <t xml:space="preserve">
3 units available on chart</t>
        </r>
      </text>
    </comment>
    <comment ref="X8" authorId="0" shapeId="0" xr:uid="{00000000-0006-0000-0000-000003000000}">
      <text>
        <r>
          <rPr>
            <b/>
            <sz val="9"/>
            <color indexed="81"/>
            <rFont val="Tahoma"/>
            <family val="2"/>
          </rPr>
          <t xml:space="preserve">Adrienne Sofia V. Palmiano:
</t>
        </r>
        <r>
          <rPr>
            <sz val="9"/>
            <color indexed="81"/>
            <rFont val="Tahoma"/>
            <family val="2"/>
          </rPr>
          <t xml:space="preserve">
All AVAILABLE Units should be </t>
        </r>
        <r>
          <rPr>
            <b/>
            <sz val="9"/>
            <color indexed="81"/>
            <rFont val="Tahoma"/>
            <family val="2"/>
          </rPr>
          <t>TRUE</t>
        </r>
      </text>
    </comment>
  </commentList>
</comments>
</file>

<file path=xl/sharedStrings.xml><?xml version="1.0" encoding="utf-8"?>
<sst xmlns="http://schemas.openxmlformats.org/spreadsheetml/2006/main" count="2442" uniqueCount="703">
  <si>
    <t>General Instructions</t>
  </si>
  <si>
    <t>JACANA / MYNA / CAROLA / MIRANDA</t>
  </si>
  <si>
    <t>Name of Buyer</t>
  </si>
  <si>
    <t>Type of Buyer</t>
  </si>
  <si>
    <t>Unit Number</t>
  </si>
  <si>
    <t>UNIT NO.</t>
  </si>
  <si>
    <t>UNIT TYPE</t>
  </si>
  <si>
    <t>Total</t>
  </si>
  <si>
    <t>Floor Area</t>
  </si>
  <si>
    <t>Floor Level</t>
  </si>
  <si>
    <t>Unit Type</t>
  </si>
  <si>
    <t>FLOOR</t>
  </si>
  <si>
    <t>01</t>
  </si>
  <si>
    <t>2BR-SVP</t>
  </si>
  <si>
    <t>02</t>
  </si>
  <si>
    <t>03</t>
  </si>
  <si>
    <t>2BR-MV</t>
  </si>
  <si>
    <t>05</t>
  </si>
  <si>
    <t>06</t>
  </si>
  <si>
    <t>07</t>
  </si>
  <si>
    <t>08</t>
  </si>
  <si>
    <t>2BR-SVD</t>
  </si>
  <si>
    <t>09</t>
  </si>
  <si>
    <t>Payment Term</t>
  </si>
  <si>
    <t>Contract Price Computation</t>
  </si>
  <si>
    <t>Payment No.</t>
  </si>
  <si>
    <t>Particulars</t>
  </si>
  <si>
    <t>Amount Due</t>
  </si>
  <si>
    <t>Outstanding Balance</t>
  </si>
  <si>
    <t>Reservation Fee</t>
  </si>
  <si>
    <t>MA - 1</t>
  </si>
  <si>
    <t>MA - 2</t>
  </si>
  <si>
    <t>MA - 3</t>
  </si>
  <si>
    <t>MA - 4</t>
  </si>
  <si>
    <t>MA - 5</t>
  </si>
  <si>
    <t>MA - 6</t>
  </si>
  <si>
    <t>MA - 7</t>
  </si>
  <si>
    <t>MA - 8</t>
  </si>
  <si>
    <t>MA - 9</t>
  </si>
  <si>
    <t>MA - 10</t>
  </si>
  <si>
    <t>MA - 11</t>
  </si>
  <si>
    <t>MA - 12</t>
  </si>
  <si>
    <t>MA - 13</t>
  </si>
  <si>
    <t>MA - 14</t>
  </si>
  <si>
    <t>MA - 15</t>
  </si>
  <si>
    <t>MA - 16</t>
  </si>
  <si>
    <t>MA - 17</t>
  </si>
  <si>
    <t>MA - 18</t>
  </si>
  <si>
    <t>MA - 19</t>
  </si>
  <si>
    <t>MA - 20</t>
  </si>
  <si>
    <t>MA - 21</t>
  </si>
  <si>
    <t>MA - 22</t>
  </si>
  <si>
    <t>MA - 23</t>
  </si>
  <si>
    <t>MA - 24</t>
  </si>
  <si>
    <t>MA - 25</t>
  </si>
  <si>
    <t>MA - 26</t>
  </si>
  <si>
    <t>MA - 27</t>
  </si>
  <si>
    <t>MA - 28</t>
  </si>
  <si>
    <t>MA - 29</t>
  </si>
  <si>
    <t>MA - 30</t>
  </si>
  <si>
    <t>MA - 31</t>
  </si>
  <si>
    <t>MA - 32</t>
  </si>
  <si>
    <t>MA - 33</t>
  </si>
  <si>
    <t>MA - 34</t>
  </si>
  <si>
    <t>MA - 35</t>
  </si>
  <si>
    <t>MA - 36</t>
  </si>
  <si>
    <t>MA - 37</t>
  </si>
  <si>
    <t>MA - 38</t>
  </si>
  <si>
    <t>MA - 39</t>
  </si>
  <si>
    <t>MA - 40</t>
  </si>
  <si>
    <t>MA - 41</t>
  </si>
  <si>
    <t>MA - 42</t>
  </si>
  <si>
    <t>MA - 43</t>
  </si>
  <si>
    <t>MA - 44</t>
  </si>
  <si>
    <t>MA - 45</t>
  </si>
  <si>
    <t>MA - 46</t>
  </si>
  <si>
    <t>MA - 47</t>
  </si>
  <si>
    <t>MA - 48</t>
  </si>
  <si>
    <t>MA - 49</t>
  </si>
  <si>
    <t>MA - 50</t>
  </si>
  <si>
    <t>MA - 51</t>
  </si>
  <si>
    <t>MA - 52</t>
  </si>
  <si>
    <t>MA - 53</t>
  </si>
  <si>
    <t>MA - 54</t>
  </si>
  <si>
    <t>MA - 55</t>
  </si>
  <si>
    <t>MA - 56</t>
  </si>
  <si>
    <t>MA - 57</t>
  </si>
  <si>
    <t>MA - 58</t>
  </si>
  <si>
    <t>MA - 59</t>
  </si>
  <si>
    <t>MA - 60</t>
  </si>
  <si>
    <t>Other Charges</t>
  </si>
  <si>
    <t>Conforme:</t>
  </si>
  <si>
    <t>Buyer</t>
  </si>
  <si>
    <t>Sales Officer</t>
  </si>
  <si>
    <t>VAT</t>
  </si>
  <si>
    <t>STATUS</t>
  </si>
  <si>
    <t>Tower</t>
  </si>
  <si>
    <t>CODE</t>
  </si>
  <si>
    <t>Approx. Floor Area</t>
  </si>
  <si>
    <t>Tower - Floor /Unit</t>
  </si>
  <si>
    <t>New Buyer</t>
  </si>
  <si>
    <t>Total Contract Price</t>
  </si>
  <si>
    <t>DP - 1</t>
  </si>
  <si>
    <t>DP - 2</t>
  </si>
  <si>
    <t>LS</t>
  </si>
  <si>
    <t>JAMY/CAMI CODE</t>
  </si>
  <si>
    <t>Unit</t>
  </si>
  <si>
    <t>Club Share</t>
  </si>
  <si>
    <t>Yes</t>
  </si>
  <si>
    <t>No</t>
  </si>
  <si>
    <t>Dsct</t>
  </si>
  <si>
    <t>List Price &amp; CSI (VAT-IN)</t>
  </si>
  <si>
    <t>View</t>
  </si>
  <si>
    <t>Notes:</t>
  </si>
  <si>
    <t>1.   Costa del Hamilo, Inc. (CDHI) reserves the right to change the above terms and prices, including the figures and computations, without prior notice.</t>
  </si>
  <si>
    <t>2.  The prices quoted above are inclusive of 12% VAT, applicable at the time of preparation of this computation sheet. Any adjustments in the VAT rate shall correspondingly adjust the above computations.</t>
  </si>
  <si>
    <t>3.  All cheques must be made payable to COSTA DEL HAMILO, INC.</t>
  </si>
  <si>
    <t>4.  This computation is for information purposes only.  No contract shall be deemed established between the recipient hereof and Costa del Hamilo, Inc. based upon the information given.</t>
  </si>
  <si>
    <t>5.  Computations above reflect mere approximate amounts that will be documented in the relevant sale documents.</t>
  </si>
  <si>
    <t>6.  The last monthly amortization check will only be deposited by CDHI within 5 working days after notice is sent for 1st invitation of condo unit viewing and acceptance.</t>
  </si>
  <si>
    <t xml:space="preserve">Unit </t>
  </si>
  <si>
    <t>Share</t>
  </si>
  <si>
    <t>O.C.</t>
  </si>
  <si>
    <t>RF</t>
  </si>
  <si>
    <t>CSIPRO</t>
  </si>
  <si>
    <t>SM Employee Group</t>
  </si>
  <si>
    <t>Clubshare Holder</t>
  </si>
  <si>
    <t>List Price (VAT-IN)</t>
  </si>
  <si>
    <t xml:space="preserve">       VAT</t>
  </si>
  <si>
    <t xml:space="preserve">       Add : Other Charges</t>
  </si>
  <si>
    <t>Amount Due 
(VAT-IN)</t>
  </si>
  <si>
    <t>SPOT</t>
  </si>
  <si>
    <t>UNIT NOTATION</t>
  </si>
  <si>
    <t>LIST PRICE</t>
  </si>
  <si>
    <t>OTHER CHARGES*</t>
  </si>
  <si>
    <t>TOTAL CONTRACT PRICE 
(TCP)</t>
  </si>
  <si>
    <t>G01</t>
  </si>
  <si>
    <t>G02</t>
  </si>
  <si>
    <t>G03</t>
  </si>
  <si>
    <t>G05</t>
  </si>
  <si>
    <t>G06</t>
  </si>
  <si>
    <t>G07</t>
  </si>
  <si>
    <t>G08</t>
  </si>
  <si>
    <t>G09</t>
  </si>
  <si>
    <t>G11</t>
  </si>
  <si>
    <t>G12</t>
  </si>
  <si>
    <t>202</t>
  </si>
  <si>
    <t>203</t>
  </si>
  <si>
    <t>205</t>
  </si>
  <si>
    <t>206</t>
  </si>
  <si>
    <t>207</t>
  </si>
  <si>
    <t>208</t>
  </si>
  <si>
    <t>209</t>
  </si>
  <si>
    <t>210</t>
  </si>
  <si>
    <t>211</t>
  </si>
  <si>
    <t>212</t>
  </si>
  <si>
    <t>215</t>
  </si>
  <si>
    <t>216</t>
  </si>
  <si>
    <t>217</t>
  </si>
  <si>
    <t>218</t>
  </si>
  <si>
    <t>219</t>
  </si>
  <si>
    <t>220</t>
  </si>
  <si>
    <t>221</t>
  </si>
  <si>
    <t>222</t>
  </si>
  <si>
    <t>223</t>
  </si>
  <si>
    <t>225</t>
  </si>
  <si>
    <t>226</t>
  </si>
  <si>
    <t>301</t>
  </si>
  <si>
    <t>302</t>
  </si>
  <si>
    <t>303</t>
  </si>
  <si>
    <t>305</t>
  </si>
  <si>
    <t>306</t>
  </si>
  <si>
    <t>307</t>
  </si>
  <si>
    <t>308</t>
  </si>
  <si>
    <t>309</t>
  </si>
  <si>
    <t>310</t>
  </si>
  <si>
    <t>311</t>
  </si>
  <si>
    <t>312</t>
  </si>
  <si>
    <t>315</t>
  </si>
  <si>
    <t>316</t>
  </si>
  <si>
    <t>317</t>
  </si>
  <si>
    <t>318</t>
  </si>
  <si>
    <t>319</t>
  </si>
  <si>
    <t>320</t>
  </si>
  <si>
    <t>321</t>
  </si>
  <si>
    <t>322</t>
  </si>
  <si>
    <t>323</t>
  </si>
  <si>
    <t>325</t>
  </si>
  <si>
    <t>326</t>
  </si>
  <si>
    <t>502</t>
  </si>
  <si>
    <t>503</t>
  </si>
  <si>
    <t>505</t>
  </si>
  <si>
    <t>506</t>
  </si>
  <si>
    <t>507</t>
  </si>
  <si>
    <t>508</t>
  </si>
  <si>
    <t>509</t>
  </si>
  <si>
    <t>510</t>
  </si>
  <si>
    <t>512</t>
  </si>
  <si>
    <t>515</t>
  </si>
  <si>
    <t>516</t>
  </si>
  <si>
    <t>517</t>
  </si>
  <si>
    <t>518</t>
  </si>
  <si>
    <t>519</t>
  </si>
  <si>
    <t>520</t>
  </si>
  <si>
    <t>521</t>
  </si>
  <si>
    <t>522</t>
  </si>
  <si>
    <t>523</t>
  </si>
  <si>
    <t>525</t>
  </si>
  <si>
    <t>526</t>
  </si>
  <si>
    <t>603</t>
  </si>
  <si>
    <t>606</t>
  </si>
  <si>
    <t>608</t>
  </si>
  <si>
    <t>610</t>
  </si>
  <si>
    <t>616</t>
  </si>
  <si>
    <t>618</t>
  </si>
  <si>
    <t>620</t>
  </si>
  <si>
    <t>622</t>
  </si>
  <si>
    <t>703</t>
  </si>
  <si>
    <t>706</t>
  </si>
  <si>
    <t>708</t>
  </si>
  <si>
    <t>710</t>
  </si>
  <si>
    <t>712</t>
  </si>
  <si>
    <t>716</t>
  </si>
  <si>
    <t>718</t>
  </si>
  <si>
    <t>720</t>
  </si>
  <si>
    <t>722</t>
  </si>
  <si>
    <t>803</t>
  </si>
  <si>
    <t>806</t>
  </si>
  <si>
    <t>810</t>
  </si>
  <si>
    <t>812</t>
  </si>
  <si>
    <t>816</t>
  </si>
  <si>
    <t>818</t>
  </si>
  <si>
    <t>820</t>
  </si>
  <si>
    <t>822</t>
  </si>
  <si>
    <t>903</t>
  </si>
  <si>
    <t>908</t>
  </si>
  <si>
    <t>910</t>
  </si>
  <si>
    <t>912</t>
  </si>
  <si>
    <t>918</t>
  </si>
  <si>
    <t>920</t>
  </si>
  <si>
    <t>922</t>
  </si>
  <si>
    <t>1003</t>
  </si>
  <si>
    <t>1006</t>
  </si>
  <si>
    <t>1008</t>
  </si>
  <si>
    <t>1010</t>
  </si>
  <si>
    <t>1012</t>
  </si>
  <si>
    <t>1016</t>
  </si>
  <si>
    <t>1018</t>
  </si>
  <si>
    <t>1020</t>
  </si>
  <si>
    <t>1022</t>
  </si>
  <si>
    <t>1103</t>
  </si>
  <si>
    <t>1106</t>
  </si>
  <si>
    <t>1108</t>
  </si>
  <si>
    <t>1110</t>
  </si>
  <si>
    <t>1112</t>
  </si>
  <si>
    <t>1116</t>
  </si>
  <si>
    <t>1206</t>
  </si>
  <si>
    <t>1210</t>
  </si>
  <si>
    <t>1212</t>
  </si>
  <si>
    <t>1216</t>
  </si>
  <si>
    <t>.</t>
  </si>
  <si>
    <t xml:space="preserve">     Less: Term Discount</t>
  </si>
  <si>
    <t>DP-1</t>
  </si>
  <si>
    <t>DP-2</t>
  </si>
  <si>
    <t>DP-3</t>
  </si>
  <si>
    <t>DP-4</t>
  </si>
  <si>
    <t>BP-1</t>
  </si>
  <si>
    <t>BP-2</t>
  </si>
  <si>
    <t>BP-3</t>
  </si>
  <si>
    <t>BP-4</t>
  </si>
  <si>
    <t>BP-5</t>
  </si>
  <si>
    <t>BP-6</t>
  </si>
  <si>
    <t>BP-7</t>
  </si>
  <si>
    <t>BP-8</t>
  </si>
  <si>
    <t>BP-9</t>
  </si>
  <si>
    <t>BP-10</t>
  </si>
  <si>
    <t>BP-11</t>
  </si>
  <si>
    <t>BP-12</t>
  </si>
  <si>
    <t>BP-13</t>
  </si>
  <si>
    <t>BP-14</t>
  </si>
  <si>
    <t>BP-15</t>
  </si>
  <si>
    <t>BP-16</t>
  </si>
  <si>
    <t>BP-17</t>
  </si>
  <si>
    <t>BP-18</t>
  </si>
  <si>
    <t>BP-19</t>
  </si>
  <si>
    <t>BP-20</t>
  </si>
  <si>
    <t>BP-21</t>
  </si>
  <si>
    <t>BP-22</t>
  </si>
  <si>
    <t>BP-23</t>
  </si>
  <si>
    <t>BP-24</t>
  </si>
  <si>
    <t>MA-1</t>
  </si>
  <si>
    <t>MA-2</t>
  </si>
  <si>
    <t>MA-3</t>
  </si>
  <si>
    <t>MA-4</t>
  </si>
  <si>
    <t>MA-5</t>
  </si>
  <si>
    <t>MA-6</t>
  </si>
  <si>
    <t>MA-7</t>
  </si>
  <si>
    <t>MA-8</t>
  </si>
  <si>
    <t>MA-9</t>
  </si>
  <si>
    <t>MA-10</t>
  </si>
  <si>
    <t>MA-11</t>
  </si>
  <si>
    <t>MA-12</t>
  </si>
  <si>
    <t>MA-13</t>
  </si>
  <si>
    <t>MA-14</t>
  </si>
  <si>
    <t>MA-15</t>
  </si>
  <si>
    <t>MA-16</t>
  </si>
  <si>
    <t>MA-17</t>
  </si>
  <si>
    <t>MA-18</t>
  </si>
  <si>
    <t>MA-19</t>
  </si>
  <si>
    <t>MA-20</t>
  </si>
  <si>
    <t>MA-21</t>
  </si>
  <si>
    <t>MA-22</t>
  </si>
  <si>
    <t>MA-23</t>
  </si>
  <si>
    <t>MA-24</t>
  </si>
  <si>
    <t>MA-25</t>
  </si>
  <si>
    <t>MA-26</t>
  </si>
  <si>
    <t>MA-27</t>
  </si>
  <si>
    <t>MA-28</t>
  </si>
  <si>
    <t>MA-29</t>
  </si>
  <si>
    <t>MA-30</t>
  </si>
  <si>
    <t>MA-31</t>
  </si>
  <si>
    <t>MA-32</t>
  </si>
  <si>
    <t>MA-33</t>
  </si>
  <si>
    <t>MA-34</t>
  </si>
  <si>
    <t>MA-35</t>
  </si>
  <si>
    <t>MA-36</t>
  </si>
  <si>
    <t>MA-37</t>
  </si>
  <si>
    <t>MA-38</t>
  </si>
  <si>
    <t>MA-39</t>
  </si>
  <si>
    <t>MA-40</t>
  </si>
  <si>
    <t>MA-41</t>
  </si>
  <si>
    <t>MA-42</t>
  </si>
  <si>
    <t>MA-43</t>
  </si>
  <si>
    <t>MA-44</t>
  </si>
  <si>
    <t>MA-45</t>
  </si>
  <si>
    <t>MA-46</t>
  </si>
  <si>
    <t>MA-47</t>
  </si>
  <si>
    <t>MA-48</t>
  </si>
  <si>
    <t>MA-49</t>
  </si>
  <si>
    <t>MA-50</t>
  </si>
  <si>
    <t>MA-51</t>
  </si>
  <si>
    <t>MA-52</t>
  </si>
  <si>
    <t>MA-53</t>
  </si>
  <si>
    <t>MA-54</t>
  </si>
  <si>
    <t>MA-55</t>
  </si>
  <si>
    <t>MA-56</t>
  </si>
  <si>
    <t>MA-57</t>
  </si>
  <si>
    <t>MA-58</t>
  </si>
  <si>
    <t>MA-59</t>
  </si>
  <si>
    <t>MA-60</t>
  </si>
  <si>
    <t>MA-61</t>
  </si>
  <si>
    <t>MA-62</t>
  </si>
  <si>
    <t>MA-63</t>
  </si>
  <si>
    <t>MA-64</t>
  </si>
  <si>
    <t>MA-65</t>
  </si>
  <si>
    <t>MA-66</t>
  </si>
  <si>
    <t>MA-67</t>
  </si>
  <si>
    <t>MA-68</t>
  </si>
  <si>
    <t>MA-69</t>
  </si>
  <si>
    <t>MA-70</t>
  </si>
  <si>
    <t>MA-71</t>
  </si>
  <si>
    <t>MA-72</t>
  </si>
  <si>
    <t>MA-73</t>
  </si>
  <si>
    <t>MA-74</t>
  </si>
  <si>
    <t>MA-75</t>
  </si>
  <si>
    <t>MA-76</t>
  </si>
  <si>
    <t>MA-77</t>
  </si>
  <si>
    <t>MA-78</t>
  </si>
  <si>
    <t>MA-79</t>
  </si>
  <si>
    <t>MA-80</t>
  </si>
  <si>
    <t>MA-81</t>
  </si>
  <si>
    <t>MA-82</t>
  </si>
  <si>
    <t>MA-83</t>
  </si>
  <si>
    <t>MA-84</t>
  </si>
  <si>
    <t>MA-85</t>
  </si>
  <si>
    <t>MA-86</t>
  </si>
  <si>
    <t>MA-87</t>
  </si>
  <si>
    <t>MA-88</t>
  </si>
  <si>
    <t>MA-89</t>
  </si>
  <si>
    <t>MA-90</t>
  </si>
  <si>
    <t>MA-91</t>
  </si>
  <si>
    <t>MA-92</t>
  </si>
  <si>
    <t>MA-93</t>
  </si>
  <si>
    <t>MA-94</t>
  </si>
  <si>
    <t>MA-95</t>
  </si>
  <si>
    <t>MA-96</t>
  </si>
  <si>
    <t>MA-97</t>
  </si>
  <si>
    <t>MA-98</t>
  </si>
  <si>
    <t>MA-99</t>
  </si>
  <si>
    <t>MA-100</t>
  </si>
  <si>
    <t>MA-101</t>
  </si>
  <si>
    <t>MA-102</t>
  </si>
  <si>
    <t>MA-103</t>
  </si>
  <si>
    <t>MA-104</t>
  </si>
  <si>
    <t>MA-105</t>
  </si>
  <si>
    <t>MA-106</t>
  </si>
  <si>
    <t>MA-107</t>
  </si>
  <si>
    <t>MA-108</t>
  </si>
  <si>
    <t>MA-109</t>
  </si>
  <si>
    <t>MA-110</t>
  </si>
  <si>
    <t>MA-111</t>
  </si>
  <si>
    <t>MA-112</t>
  </si>
  <si>
    <t>MA-113</t>
  </si>
  <si>
    <t>MA-114</t>
  </si>
  <si>
    <t>MA-115</t>
  </si>
  <si>
    <t>MA-116</t>
  </si>
  <si>
    <t>MA-117</t>
  </si>
  <si>
    <t>MA-118</t>
  </si>
  <si>
    <t>MA-119</t>
  </si>
  <si>
    <t>MA-120</t>
  </si>
  <si>
    <t>Outstanding 
Balance</t>
  </si>
  <si>
    <t>Step 1: Please input/select necessary data on highlighted areas only.</t>
  </si>
  <si>
    <t>BACK TO INPUT</t>
  </si>
  <si>
    <t xml:space="preserve">8. For sales of Model Units, CDHI will compute VAT based on both Unit and Add-On (Furniture) Package. </t>
  </si>
  <si>
    <t>7. Other Charges will be based only on the Unit Price after discounts and exclusive of VAT. It will be collected with the 2nd to the last payment of the unit.</t>
  </si>
  <si>
    <t>With Discount</t>
  </si>
  <si>
    <t>Type of Share</t>
  </si>
  <si>
    <t>Individual</t>
  </si>
  <si>
    <t>Corporate</t>
  </si>
  <si>
    <t>2.   All cheques must be made payable to COSTA DEL HAMILO, INC.</t>
  </si>
  <si>
    <t>3.   This computation is for information purposes only.  No contract shall be deemed established between the recipient hereof and Costa del Hamilo, Inc. based upon the information given.</t>
  </si>
  <si>
    <t>4.   Computations above reflect mere approximate amounts that will be documented in the relevant sale documents.</t>
  </si>
  <si>
    <t>BUYER</t>
  </si>
  <si>
    <t>100% Paid in 15 days (with 20% discount)</t>
  </si>
  <si>
    <t>100% Paid in 30 days (with 10% Discount)</t>
  </si>
  <si>
    <t>Spot 25% / 75% in 12 mos. (with 5% Discount)</t>
  </si>
  <si>
    <t>Spot 25% / 75% in 24 mos.</t>
  </si>
  <si>
    <t xml:space="preserve">     VAT</t>
  </si>
  <si>
    <t xml:space="preserve">     Add : Other Charges</t>
  </si>
  <si>
    <t xml:space="preserve">          Less: Employee Disct</t>
  </si>
  <si>
    <t>G</t>
  </si>
  <si>
    <t>20% in 2 mos. / 80 % in 48 mos.</t>
  </si>
  <si>
    <t>Net List Price (VAT-EX)</t>
  </si>
  <si>
    <t xml:space="preserve">          Less: Term Discount</t>
  </si>
  <si>
    <t>Discounted List Price (VAT-IN)</t>
  </si>
  <si>
    <t>20% in 30 days / 80% in 60 days</t>
  </si>
  <si>
    <t>SPOT 10% / 15% in 3mos. / 75% LS</t>
  </si>
  <si>
    <t>10% in 2mos. / 90% in 60mos.</t>
  </si>
  <si>
    <t>SPOT 5% / 5% in 60 days / 90% in 120mos.     (SM EMPLOYEE)</t>
  </si>
  <si>
    <t>SPOT 10% / 10% in 60 days / 80% 24mos.</t>
  </si>
  <si>
    <t>Step 2: Choose on desired payment term's discount rates (if any).</t>
  </si>
  <si>
    <t>Step 3: Click on the chosen payment terms to connect you with the printable computation for your client.</t>
  </si>
  <si>
    <t xml:space="preserve">Note: Dropdowns are provided for you to choose on specific items already given such as units, discount rates, promos </t>
  </si>
  <si>
    <t>that are applicable and/or type of shares. All possible adjustments will only be found in this INPUT tab for ease.</t>
  </si>
  <si>
    <t>Step 4: If you wish to go back to this INPUT tab, just click on "BACK TO INPUT" below our project logos.</t>
  </si>
  <si>
    <t>CLUB SHARES</t>
  </si>
  <si>
    <t>Status</t>
  </si>
  <si>
    <t>SALES OFFICER</t>
  </si>
  <si>
    <t>CLUBSHARE PAYMENT SUMMARY</t>
  </si>
  <si>
    <t>Due</t>
  </si>
  <si>
    <t>Monthly Amortization</t>
  </si>
  <si>
    <t>Downpayment</t>
  </si>
  <si>
    <t>Lump Sum</t>
  </si>
  <si>
    <t>After 30 days from reservation date</t>
  </si>
  <si>
    <t>After 15 days from reservation date</t>
  </si>
  <si>
    <t>After 30 days from lump sum for 12mos.</t>
  </si>
  <si>
    <t>After 30 days from lump sum for 24mos.</t>
  </si>
  <si>
    <t>After 30 days from reservation date for 2mos.</t>
  </si>
  <si>
    <t>Spot Payment</t>
  </si>
  <si>
    <t>After 30 days from the last downpayment for 48mos.</t>
  </si>
  <si>
    <t>Spot Payment
(To be paid in 15 days)</t>
  </si>
  <si>
    <t>Spot Payment
(To be paid in 30 days)</t>
  </si>
  <si>
    <t>100% in 15 days (with 20% discount)</t>
  </si>
  <si>
    <t>100% in 30 days (with 10% discount)</t>
  </si>
  <si>
    <t>10</t>
  </si>
  <si>
    <t>11</t>
  </si>
  <si>
    <t>12</t>
  </si>
  <si>
    <t>15</t>
  </si>
  <si>
    <t>16</t>
  </si>
  <si>
    <t>17</t>
  </si>
  <si>
    <t>18</t>
  </si>
  <si>
    <t>SHARE PRICE</t>
  </si>
  <si>
    <t>CROSS CHECKING</t>
  </si>
  <si>
    <t>201</t>
  </si>
  <si>
    <t>1203</t>
  </si>
  <si>
    <t>1503</t>
  </si>
  <si>
    <t>1506</t>
  </si>
  <si>
    <t>G10</t>
  </si>
  <si>
    <t>TCP</t>
  </si>
  <si>
    <t>UNIT STATUS</t>
  </si>
  <si>
    <t>LIST PRICE (VAT-IN)</t>
  </si>
  <si>
    <t>Monthly Amortizations</t>
  </si>
  <si>
    <t>After 30 days from last monthly amortization</t>
  </si>
  <si>
    <t>MIRANDA 715-B</t>
  </si>
  <si>
    <t>NOTES:</t>
  </si>
  <si>
    <t xml:space="preserve">    Any adjustments in the VAT rate shall correspondingly adjust the above computations.</t>
  </si>
  <si>
    <t xml:space="preserve">     Buyer's name, all of which shall be for the account of the Buyer.</t>
  </si>
  <si>
    <t>CDHI-F-PL-09212018-004</t>
  </si>
  <si>
    <t>9) All cheques must be made payable to COSTA DEL HAMILO, INC.</t>
  </si>
  <si>
    <t>10) Prices and rates quoted above are subject to change without prior notice</t>
  </si>
  <si>
    <t>8) Other Charges include documentary stamp tax, registration fees, transfer taxes, and other expenses for the transfer of title to the</t>
  </si>
  <si>
    <r>
      <t xml:space="preserve">7) </t>
    </r>
    <r>
      <rPr>
        <b/>
        <i/>
        <sz val="9"/>
        <rFont val="Calibri"/>
        <family val="2"/>
      </rPr>
      <t>*</t>
    </r>
    <r>
      <rPr>
        <i/>
        <sz val="9"/>
        <rFont val="Calibri"/>
        <family val="2"/>
      </rPr>
      <t>Other Charges computed above is 3.5% based on Unit Price.</t>
    </r>
  </si>
  <si>
    <t>6) The computations above are based on a 12% Value-Added Tax (VAT) rate, applicable at the time of preparation of this Price List.</t>
  </si>
  <si>
    <t>5) Ownership of any FREIA condominium unit is exclusive to PDLBCC Share Holders</t>
  </si>
  <si>
    <t>4) List Prices quoted above are inclusive of a bundled Individual Club Share to Pico de Loro Beach &amp; Country Club (PDLBCC)</t>
  </si>
  <si>
    <t>3) Floor Areas indicated above are approximates only. Actual inspection and verification on-Site should be conducted by the Buyer.</t>
  </si>
  <si>
    <t>2) MV - Mountain View / SVD - Seaview (Deluxe) / SVP - Seaview (Premium) / PHD - Penthouse (Deluxe) / PHP - Penthouse (Premium)</t>
  </si>
  <si>
    <t>1) The required Reservation Fee is P100,000.00 per transaction</t>
  </si>
  <si>
    <t xml:space="preserve"> </t>
  </si>
  <si>
    <t>10) Effective as of September 21, 2018 onwards. Pricing may change until further notification.</t>
  </si>
  <si>
    <t>After 30 days from down payment for 60 Monthly Amortizations</t>
  </si>
  <si>
    <t xml:space="preserve"> Less: Term Discount</t>
  </si>
  <si>
    <t>NP</t>
  </si>
  <si>
    <t>Convert GC to Discount</t>
  </si>
  <si>
    <t>UNITS WITH NP</t>
  </si>
  <si>
    <t>CONVERT</t>
  </si>
  <si>
    <t>Conver to 1% Disc</t>
  </si>
  <si>
    <t>YES</t>
  </si>
  <si>
    <t>NO</t>
  </si>
  <si>
    <t>Promo Discount</t>
  </si>
  <si>
    <t>After 30 days from last downpayment for 36 Monthly Amortizations</t>
  </si>
  <si>
    <t>Booked</t>
  </si>
  <si>
    <t>Reserved</t>
  </si>
  <si>
    <t>Temporary Hold</t>
  </si>
  <si>
    <t>Management Hold</t>
  </si>
  <si>
    <t>Available</t>
  </si>
  <si>
    <t>No. of units</t>
  </si>
  <si>
    <t>for Sellers</t>
  </si>
  <si>
    <t>Buyer Discount</t>
  </si>
  <si>
    <t>SAP CHECK</t>
  </si>
  <si>
    <t xml:space="preserve">     Add : Club Share</t>
  </si>
  <si>
    <t>W</t>
  </si>
  <si>
    <t>Unit List Price (VAT-IN)</t>
  </si>
  <si>
    <t>List Price</t>
  </si>
  <si>
    <t>Net List Price</t>
  </si>
  <si>
    <t>Mountain View</t>
  </si>
  <si>
    <t>Lagoon View</t>
  </si>
  <si>
    <t>Sea View</t>
  </si>
  <si>
    <t>PentHouse</t>
  </si>
  <si>
    <t>Corner Unit</t>
  </si>
  <si>
    <t>PROMO</t>
  </si>
  <si>
    <t>1. This computation sheet only intends to provide an indicative reservation price. Prices, terms, and conditions are subject to change without prior notice.</t>
  </si>
  <si>
    <t>3. Price includes the Value-Added Tax, currently at 12%.</t>
  </si>
  <si>
    <t>4. Any government-mandated adjustments on taxes shall be applied accordingly.</t>
  </si>
  <si>
    <t>BLOCK</t>
  </si>
  <si>
    <t>LOT NO.</t>
  </si>
  <si>
    <t>B1-L1</t>
  </si>
  <si>
    <t>B1-L2</t>
  </si>
  <si>
    <t>B1-L3</t>
  </si>
  <si>
    <t>B1-L5</t>
  </si>
  <si>
    <t>B1-L6</t>
  </si>
  <si>
    <t>B1-L7</t>
  </si>
  <si>
    <t>B1-L8</t>
  </si>
  <si>
    <t>B1-L9</t>
  </si>
  <si>
    <t>B1-L10</t>
  </si>
  <si>
    <t>B1-L11</t>
  </si>
  <si>
    <t>B1-L12</t>
  </si>
  <si>
    <t>B1-L15</t>
  </si>
  <si>
    <t>B2-L1</t>
  </si>
  <si>
    <t>B2-L2</t>
  </si>
  <si>
    <t>B2-L3</t>
  </si>
  <si>
    <t>B2-L5</t>
  </si>
  <si>
    <t>B2-L6</t>
  </si>
  <si>
    <t>B2-L7</t>
  </si>
  <si>
    <t>B2-L8</t>
  </si>
  <si>
    <t>B2-L9</t>
  </si>
  <si>
    <t>B2-L10</t>
  </si>
  <si>
    <t>B2-L11</t>
  </si>
  <si>
    <t>B2-L12</t>
  </si>
  <si>
    <t>B2-L15</t>
  </si>
  <si>
    <t>B2-L16</t>
  </si>
  <si>
    <t>B2-L17</t>
  </si>
  <si>
    <t>B2-L18</t>
  </si>
  <si>
    <t>B2-L19</t>
  </si>
  <si>
    <t>B2-L20</t>
  </si>
  <si>
    <t>B2-L21</t>
  </si>
  <si>
    <t>B3-L1</t>
  </si>
  <si>
    <t>B3-L2</t>
  </si>
  <si>
    <t>B3-L3</t>
  </si>
  <si>
    <t>B3-L5</t>
  </si>
  <si>
    <t>B3-L6</t>
  </si>
  <si>
    <t>B3-L7</t>
  </si>
  <si>
    <t>B3-L8</t>
  </si>
  <si>
    <t>B3-L9</t>
  </si>
  <si>
    <t>B3-L10</t>
  </si>
  <si>
    <t>B3-L11</t>
  </si>
  <si>
    <t>B5-L1</t>
  </si>
  <si>
    <t>B5-L2</t>
  </si>
  <si>
    <t>B5-L3</t>
  </si>
  <si>
    <t>B5-L5</t>
  </si>
  <si>
    <t>B5-L6</t>
  </si>
  <si>
    <t>B5-L7</t>
  </si>
  <si>
    <t>B5-L8</t>
  </si>
  <si>
    <t>B5-L9</t>
  </si>
  <si>
    <t>B5-L10</t>
  </si>
  <si>
    <t>B5-L11</t>
  </si>
  <si>
    <t>LOT AREA (sqm.)</t>
  </si>
  <si>
    <t>LOT PRICE</t>
  </si>
  <si>
    <t>SOLA</t>
  </si>
  <si>
    <t>SOLA PAYMENTS SUMMARY</t>
  </si>
  <si>
    <t>SOLA CODE</t>
  </si>
  <si>
    <t>Block &amp; Lot No.</t>
  </si>
  <si>
    <t>10% Spot / 15% in 30 mos / 75% LS</t>
  </si>
  <si>
    <t>50% Spot / 50% in 60 mos.  (with 8% Discount)</t>
  </si>
  <si>
    <t>20% Spot / 80% in 60 mos.  (with 3% Discount)</t>
  </si>
  <si>
    <t>90% Spot / 10% in 24 mos.  (with 15% Discount)</t>
  </si>
  <si>
    <t>Disc.</t>
  </si>
  <si>
    <t>5% Intro Discount</t>
  </si>
  <si>
    <t>8% Term Discount</t>
  </si>
  <si>
    <t>B1-L16</t>
  </si>
  <si>
    <t>B1-L17</t>
  </si>
  <si>
    <t>B1-L18</t>
  </si>
  <si>
    <t>Project Name</t>
  </si>
  <si>
    <t>Lot Area (sqm.)</t>
  </si>
  <si>
    <t>Member's Disc.</t>
  </si>
  <si>
    <t>Other Disc.</t>
  </si>
  <si>
    <t>Other Discount</t>
  </si>
  <si>
    <t xml:space="preserve">         VAT</t>
  </si>
  <si>
    <t xml:space="preserve">         Add : Other Charges</t>
  </si>
  <si>
    <t xml:space="preserve">         Add : Club Share</t>
  </si>
  <si>
    <t>2. Submission of post dated checks is required. Checks should be made payable to "Costa del Hamilo, Inc."</t>
  </si>
  <si>
    <t>MA - 61</t>
  </si>
  <si>
    <t>MA - 62</t>
  </si>
  <si>
    <t>MA - 63</t>
  </si>
  <si>
    <t>MA - 64</t>
  </si>
  <si>
    <t>MA - 65</t>
  </si>
  <si>
    <t>MA - 66</t>
  </si>
  <si>
    <t>MA - 67</t>
  </si>
  <si>
    <t>MA - 68</t>
  </si>
  <si>
    <t>MA - 69</t>
  </si>
  <si>
    <t>MA - 70</t>
  </si>
  <si>
    <t>MA - 71</t>
  </si>
  <si>
    <t>MA - 72</t>
  </si>
  <si>
    <t>MA - 73</t>
  </si>
  <si>
    <t>MA - 74</t>
  </si>
  <si>
    <t>MA - 75</t>
  </si>
  <si>
    <t>MA - 76</t>
  </si>
  <si>
    <t>MA - 77</t>
  </si>
  <si>
    <t>MA - 78</t>
  </si>
  <si>
    <t>MA - 79</t>
  </si>
  <si>
    <t>MA - 80</t>
  </si>
  <si>
    <t>MA - 81</t>
  </si>
  <si>
    <t>MA - 82</t>
  </si>
  <si>
    <t>MA - 83</t>
  </si>
  <si>
    <t>MA - 84</t>
  </si>
  <si>
    <t>MA - 85</t>
  </si>
  <si>
    <t>MA - 86</t>
  </si>
  <si>
    <t>MA - 87</t>
  </si>
  <si>
    <t>MA - 88</t>
  </si>
  <si>
    <t>MA - 89</t>
  </si>
  <si>
    <t>MA - 90</t>
  </si>
  <si>
    <t>MA - 91</t>
  </si>
  <si>
    <t>MA - 92</t>
  </si>
  <si>
    <t>MA - 93</t>
  </si>
  <si>
    <t>MA - 94</t>
  </si>
  <si>
    <t>MA - 95</t>
  </si>
  <si>
    <t>MA - 96</t>
  </si>
  <si>
    <t>MA - 97</t>
  </si>
  <si>
    <t>MA - 98</t>
  </si>
  <si>
    <t>MA - 99</t>
  </si>
  <si>
    <t>MA - 100</t>
  </si>
  <si>
    <t>MA - 101</t>
  </si>
  <si>
    <t>MA - 102</t>
  </si>
  <si>
    <t>MA - 103</t>
  </si>
  <si>
    <t>MA - 104</t>
  </si>
  <si>
    <t>MA - 105</t>
  </si>
  <si>
    <t>MA - 106</t>
  </si>
  <si>
    <t>MA - 107</t>
  </si>
  <si>
    <t>MA - 108</t>
  </si>
  <si>
    <t>MA - 109</t>
  </si>
  <si>
    <t>MA - 110</t>
  </si>
  <si>
    <t>MA - 111</t>
  </si>
  <si>
    <t>MA - 112</t>
  </si>
  <si>
    <t>MA - 113</t>
  </si>
  <si>
    <t>MA - 114</t>
  </si>
  <si>
    <t>MA - 115</t>
  </si>
  <si>
    <t>MA - 116</t>
  </si>
  <si>
    <t>MA - 117</t>
  </si>
  <si>
    <t>MA - 118</t>
  </si>
  <si>
    <t>Promo/Other Discount</t>
  </si>
  <si>
    <t>15% Term Discount</t>
  </si>
  <si>
    <t>After 30 days, from Reservation</t>
  </si>
  <si>
    <t>After 30 days from Down Payment, 
for 24 Monthly Amortizations</t>
  </si>
  <si>
    <t>3% Term Discount</t>
  </si>
  <si>
    <t>0% Term Discount</t>
  </si>
  <si>
    <t>After 30 days from last Monthly Amortization</t>
  </si>
  <si>
    <t>Downpayment-1</t>
  </si>
  <si>
    <t>Downpayment-2</t>
  </si>
  <si>
    <t>After 30 days, from Downpayment-1</t>
  </si>
  <si>
    <t>After 30 days from Downpayment-2, 
for 118 Monthly Amortizations</t>
  </si>
  <si>
    <t>TYPE</t>
  </si>
  <si>
    <t>Lot Type</t>
  </si>
  <si>
    <t>Parkview</t>
  </si>
  <si>
    <t>6. Each Lot comes with one (1) proprietary Individual Club Share to Pico de Loro Beach &amp; Country Club (PDLBCC). All membership applications shall be subject to the approval of the Membership Committee in accordance with the Club's rules, regulations, and policies.</t>
  </si>
  <si>
    <t>5. Should the Buyer intend to avail and/or obtain financing for the payment of the Contract Price, or any part thereof, from a bank or financing institution acceptable to Costa del Hamilo, Inc., Buyer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Costa del Hamilo, Inc. acknowledges that the Bank will initially send the Deed of Undertaking and Letter of Guarantee, as the case may be, to inform Costa del Hamilo, Inc. of the loan approval, the proceeds shall be paid to Costa del Hamilo, Inc. on or before the due date stated above. In the event of a delay, penalty charges shall be applied. The Buyer is encouraged to work on their loan application at least four to six months from their due date when they intend to partially or fully pay the balance.</t>
  </si>
  <si>
    <t>7. If the Buyer is an existing shareholder-member, the proprietary PDLBCC share may be converted into a cash discount equivalent to P300,000 (VAT-In).</t>
  </si>
  <si>
    <t>8. Other Charges will be based only of the Lot Price after discounts and exclusive of VAT, and will be spread out in accordance to the Buyer's Schedule of Payment.</t>
  </si>
  <si>
    <t>LIMITED TERM (first 5 accounts): 10% in 2 mos. / 90% in 118 mos.</t>
  </si>
  <si>
    <t>CODE FOR INPUT</t>
  </si>
  <si>
    <t>SAP CODE</t>
  </si>
  <si>
    <t>Park Lane</t>
  </si>
  <si>
    <t>Intro Discount</t>
  </si>
  <si>
    <t>10% in 5 mos / 90% in 55 mos</t>
  </si>
  <si>
    <t>Down Payment</t>
  </si>
  <si>
    <t>After 30 days from Reservation</t>
  </si>
  <si>
    <t>After 30 days from Spot Payment, 
for 60 Monthly Amortizations</t>
  </si>
  <si>
    <t>After 30 days from Spot Payment, 
for 30 Monthly Amortizations</t>
  </si>
  <si>
    <t>After 30 days from Reservation, for 5 months</t>
  </si>
  <si>
    <t>After 30 days from last Down Payment, 
for 55 Monthly Amortizations</t>
  </si>
  <si>
    <t>Sold</t>
  </si>
  <si>
    <t>as of 05/31/2021</t>
  </si>
  <si>
    <t>PL1 - per sqm.
(EFFECTIVE MAY 31, 2021)</t>
  </si>
  <si>
    <t>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</si>
</sst>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_(* \(#,##0\);_(* &quot;-&quot;??_);_(@_)"/>
    <numFmt numFmtId="166" formatCode="0.0%"/>
    <numFmt numFmtId="167" formatCode="_(* #,##0.0_);_(* \(#,##0.0\);_(* &quot;-&quot;??_);_(@_)"/>
  </numFmts>
  <fonts count="42" x14ac:knownFonts="1">
    <font>
      <sz val="11"/>
      <color theme="1"/>
      <name val="Calibri"/>
      <family val="2"/>
      <scheme val="minor"/>
    </font>
    <font>
      <sz val="10"/>
      <name val="Arial"/>
      <family val="2"/>
    </font>
    <font>
      <i/>
      <sz val="9"/>
      <name val="Calibri"/>
      <family val="2"/>
    </font>
    <font>
      <b/>
      <i/>
      <sz val="9"/>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sz val="11"/>
      <color theme="0" tint="-0.499984740745262"/>
      <name val="Calibri"/>
      <family val="2"/>
      <scheme val="minor"/>
    </font>
    <font>
      <b/>
      <i/>
      <sz val="8"/>
      <name val="Calibri"/>
      <family val="2"/>
      <scheme val="minor"/>
    </font>
    <font>
      <b/>
      <sz val="11"/>
      <name val="Calibri"/>
      <family val="2"/>
      <scheme val="minor"/>
    </font>
    <font>
      <b/>
      <sz val="11"/>
      <color theme="0" tint="-0.499984740745262"/>
      <name val="Calibri"/>
      <family val="2"/>
      <scheme val="minor"/>
    </font>
    <font>
      <sz val="11"/>
      <color indexed="8"/>
      <name val="Calibri"/>
      <family val="2"/>
      <scheme val="minor"/>
    </font>
    <font>
      <sz val="11"/>
      <name val="Calibri"/>
      <family val="2"/>
      <scheme val="minor"/>
    </font>
    <font>
      <b/>
      <sz val="8"/>
      <color theme="1"/>
      <name val="Calibri"/>
      <family val="2"/>
      <scheme val="minor"/>
    </font>
    <font>
      <sz val="9"/>
      <color theme="1"/>
      <name val="Calibri"/>
      <family val="2"/>
      <scheme val="minor"/>
    </font>
    <font>
      <sz val="11"/>
      <color rgb="FF002060"/>
      <name val="Calibri"/>
      <family val="2"/>
      <scheme val="minor"/>
    </font>
    <font>
      <i/>
      <sz val="11"/>
      <color theme="1"/>
      <name val="Calibri"/>
      <family val="2"/>
      <scheme val="minor"/>
    </font>
    <font>
      <sz val="10"/>
      <color theme="1"/>
      <name val="Calibri"/>
      <family val="2"/>
      <scheme val="minor"/>
    </font>
    <font>
      <b/>
      <i/>
      <u/>
      <sz val="9"/>
      <name val="Calibri"/>
      <family val="2"/>
      <scheme val="minor"/>
    </font>
    <font>
      <i/>
      <sz val="9"/>
      <name val="Calibri"/>
      <family val="2"/>
      <scheme val="minor"/>
    </font>
    <font>
      <sz val="9"/>
      <name val="Calibri"/>
      <family val="2"/>
      <scheme val="minor"/>
    </font>
    <font>
      <b/>
      <sz val="18"/>
      <color theme="0"/>
      <name val="Calibri"/>
      <family val="2"/>
      <scheme val="minor"/>
    </font>
    <font>
      <sz val="11"/>
      <color theme="1" tint="0.499984740745262"/>
      <name val="Calibri"/>
      <family val="2"/>
      <scheme val="minor"/>
    </font>
    <font>
      <sz val="11"/>
      <color theme="2" tint="-0.499984740745262"/>
      <name val="Calibri"/>
      <family val="2"/>
      <scheme val="minor"/>
    </font>
    <font>
      <b/>
      <sz val="10"/>
      <color theme="1"/>
      <name val="Calibri"/>
      <family val="2"/>
      <scheme val="minor"/>
    </font>
    <font>
      <i/>
      <sz val="11"/>
      <color rgb="FFFF0000"/>
      <name val="Calibri"/>
      <family val="2"/>
      <scheme val="minor"/>
    </font>
    <font>
      <b/>
      <sz val="8"/>
      <name val="Calibri"/>
      <family val="2"/>
      <scheme val="minor"/>
    </font>
    <font>
      <u/>
      <sz val="11"/>
      <color theme="0" tint="-0.499984740745262"/>
      <name val="Calibri"/>
      <family val="2"/>
      <scheme val="minor"/>
    </font>
    <font>
      <sz val="8"/>
      <color theme="1"/>
      <name val="Calibri"/>
      <family val="2"/>
      <scheme val="minor"/>
    </font>
    <font>
      <b/>
      <i/>
      <sz val="11"/>
      <color theme="1"/>
      <name val="Calibri"/>
      <family val="2"/>
      <scheme val="minor"/>
    </font>
    <font>
      <u/>
      <sz val="11"/>
      <color theme="1"/>
      <name val="Calibri"/>
      <family val="2"/>
      <scheme val="minor"/>
    </font>
    <font>
      <u/>
      <sz val="11"/>
      <name val="Calibri"/>
      <family val="2"/>
      <scheme val="minor"/>
    </font>
    <font>
      <u/>
      <sz val="11"/>
      <color rgb="FFFF0000"/>
      <name val="Calibri"/>
      <family val="2"/>
      <scheme val="minor"/>
    </font>
    <font>
      <b/>
      <sz val="14"/>
      <color theme="0"/>
      <name val="Calibri"/>
      <family val="2"/>
      <scheme val="minor"/>
    </font>
    <font>
      <sz val="8"/>
      <name val="Calibri"/>
      <family val="2"/>
      <scheme val="minor"/>
    </font>
    <font>
      <u/>
      <sz val="11"/>
      <color theme="1" tint="0.499984740745262"/>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
      <patternFill patternType="solid">
        <fgColor theme="7"/>
        <bgColor indexed="64"/>
      </patternFill>
    </fill>
    <fill>
      <patternFill patternType="solid">
        <fgColor rgb="FFFFFF00"/>
        <bgColor indexed="64"/>
      </patternFill>
    </fill>
    <fill>
      <patternFill patternType="solid">
        <fgColor theme="3" tint="0.79998168889431442"/>
        <bgColor indexed="64"/>
      </patternFill>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43" fontId="6" fillId="0" borderId="0" applyFont="0" applyFill="0" applyBorder="0" applyAlignment="0" applyProtection="0"/>
    <xf numFmtId="0" fontId="9" fillId="0" borderId="0" applyNumberFormat="0" applyFill="0" applyBorder="0" applyAlignment="0" applyProtection="0"/>
    <xf numFmtId="0" fontId="1" fillId="0" borderId="0"/>
    <xf numFmtId="9" fontId="6" fillId="0" borderId="0" applyFont="0" applyFill="0" applyBorder="0" applyAlignment="0" applyProtection="0"/>
  </cellStyleXfs>
  <cellXfs count="779">
    <xf numFmtId="0" fontId="0" fillId="0" borderId="0" xfId="0"/>
    <xf numFmtId="0" fontId="0" fillId="0" borderId="0" xfId="0" applyAlignment="1">
      <alignment horizontal="center" vertical="center"/>
    </xf>
    <xf numFmtId="0" fontId="0" fillId="0" borderId="0" xfId="0" applyAlignment="1">
      <alignment horizontal="left"/>
    </xf>
    <xf numFmtId="0" fontId="0" fillId="0" borderId="1" xfId="0" applyBorder="1" applyAlignment="1">
      <alignment horizontal="center" vertical="center"/>
    </xf>
    <xf numFmtId="165" fontId="6" fillId="0" borderId="0" xfId="1" applyNumberFormat="1" applyFont="1"/>
    <xf numFmtId="0" fontId="12" fillId="0" borderId="0" xfId="0" applyFont="1"/>
    <xf numFmtId="0" fontId="13" fillId="0" borderId="0" xfId="0" applyFont="1"/>
    <xf numFmtId="165" fontId="13" fillId="0" borderId="0" xfId="1" applyNumberFormat="1" applyFont="1"/>
    <xf numFmtId="10" fontId="13" fillId="0" borderId="0" xfId="0" applyNumberFormat="1" applyFont="1"/>
    <xf numFmtId="0" fontId="0" fillId="0" borderId="0" xfId="0"/>
    <xf numFmtId="0" fontId="14" fillId="2" borderId="0" xfId="0" applyFont="1" applyFill="1" applyBorder="1" applyAlignment="1" applyProtection="1">
      <alignment vertical="top"/>
      <protection hidden="1"/>
    </xf>
    <xf numFmtId="165" fontId="6" fillId="0" borderId="0" xfId="1" applyNumberFormat="1" applyFont="1" applyFill="1" applyBorder="1"/>
    <xf numFmtId="0" fontId="0" fillId="0" borderId="2" xfId="0" applyBorder="1" applyAlignment="1">
      <alignment horizontal="center" vertical="center"/>
    </xf>
    <xf numFmtId="165" fontId="6" fillId="0" borderId="0" xfId="1" applyNumberFormat="1" applyFont="1" applyFill="1"/>
    <xf numFmtId="9" fontId="0" fillId="0" borderId="0" xfId="0" applyNumberFormat="1"/>
    <xf numFmtId="0" fontId="10" fillId="0" borderId="0" xfId="0" applyFont="1"/>
    <xf numFmtId="0" fontId="0" fillId="3" borderId="2" xfId="0" applyFont="1" applyFill="1" applyBorder="1" applyAlignment="1">
      <alignment horizontal="center" vertical="center"/>
    </xf>
    <xf numFmtId="0" fontId="10" fillId="3" borderId="2" xfId="0" applyFont="1" applyFill="1" applyBorder="1" applyAlignment="1">
      <alignment horizontal="center" vertical="center"/>
    </xf>
    <xf numFmtId="165" fontId="10" fillId="3" borderId="2" xfId="1" applyNumberFormat="1" applyFont="1" applyFill="1" applyBorder="1" applyAlignment="1">
      <alignment horizontal="center" vertical="center"/>
    </xf>
    <xf numFmtId="0" fontId="10" fillId="3" borderId="0" xfId="0" applyFont="1" applyFill="1" applyAlignment="1">
      <alignment horizontal="center"/>
    </xf>
    <xf numFmtId="0" fontId="10" fillId="3" borderId="0" xfId="0" applyFont="1" applyFill="1"/>
    <xf numFmtId="0" fontId="15" fillId="4" borderId="2" xfId="0" applyFont="1" applyFill="1" applyBorder="1" applyAlignment="1" applyProtection="1">
      <alignment horizontal="center" vertical="center" wrapText="1"/>
      <protection hidden="1"/>
    </xf>
    <xf numFmtId="43" fontId="16" fillId="0" borderId="0" xfId="0" applyNumberFormat="1" applyFont="1" applyFill="1"/>
    <xf numFmtId="165" fontId="13" fillId="0" borderId="0" xfId="0" applyNumberFormat="1" applyFont="1"/>
    <xf numFmtId="43" fontId="13" fillId="0" borderId="0" xfId="0" applyNumberFormat="1" applyFont="1"/>
    <xf numFmtId="0" fontId="0" fillId="0" borderId="0" xfId="0" applyAlignment="1" applyProtection="1">
      <alignment horizontal="center"/>
    </xf>
    <xf numFmtId="0" fontId="0" fillId="0" borderId="0" xfId="0" applyProtection="1"/>
    <xf numFmtId="165" fontId="6" fillId="0" borderId="0" xfId="1" applyNumberFormat="1" applyFont="1" applyProtection="1"/>
    <xf numFmtId="0" fontId="0" fillId="0" borderId="0" xfId="0" applyAlignment="1">
      <alignment horizontal="center"/>
    </xf>
    <xf numFmtId="0" fontId="0" fillId="0" borderId="2" xfId="0" applyFill="1" applyBorder="1" applyAlignment="1">
      <alignment horizontal="center" vertical="center"/>
    </xf>
    <xf numFmtId="165" fontId="10" fillId="0" borderId="0" xfId="1" applyNumberFormat="1" applyFont="1"/>
    <xf numFmtId="0" fontId="0" fillId="0" borderId="2" xfId="0" applyBorder="1" applyAlignment="1">
      <alignment horizontal="center"/>
    </xf>
    <xf numFmtId="9" fontId="0" fillId="0" borderId="0" xfId="0" applyNumberFormat="1" applyAlignment="1">
      <alignment horizontal="center" vertical="center"/>
    </xf>
    <xf numFmtId="0" fontId="0" fillId="0" borderId="2" xfId="0" applyBorder="1" applyAlignment="1">
      <alignment horizontal="center" vertical="center" wrapText="1"/>
    </xf>
    <xf numFmtId="0" fontId="10" fillId="0" borderId="0" xfId="0" applyFont="1" applyAlignment="1">
      <alignment horizontal="center"/>
    </xf>
    <xf numFmtId="14" fontId="17" fillId="2" borderId="0" xfId="0" applyNumberFormat="1" applyFont="1" applyFill="1" applyAlignment="1" applyProtection="1">
      <alignment horizontal="left"/>
      <protection hidden="1"/>
    </xf>
    <xf numFmtId="0" fontId="17" fillId="2" borderId="0" xfId="0" applyFont="1" applyFill="1" applyProtection="1">
      <protection hidden="1"/>
    </xf>
    <xf numFmtId="0" fontId="17" fillId="2" borderId="0" xfId="3" applyFont="1" applyFill="1" applyBorder="1" applyAlignment="1" applyProtection="1">
      <alignment horizontal="right"/>
      <protection hidden="1"/>
    </xf>
    <xf numFmtId="0" fontId="18" fillId="2" borderId="0" xfId="0" applyFont="1" applyFill="1" applyProtection="1">
      <protection hidden="1"/>
    </xf>
    <xf numFmtId="0" fontId="18" fillId="0" borderId="0" xfId="0" applyFont="1" applyFill="1" applyProtection="1">
      <protection hidden="1"/>
    </xf>
    <xf numFmtId="0" fontId="19" fillId="2" borderId="0" xfId="0" applyFont="1" applyFill="1" applyAlignment="1" applyProtection="1">
      <alignment horizontal="left" vertical="center"/>
      <protection hidden="1"/>
    </xf>
    <xf numFmtId="0" fontId="17"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0" fillId="0" borderId="0" xfId="0" applyAlignment="1">
      <alignment horizontal="center"/>
    </xf>
    <xf numFmtId="0" fontId="0" fillId="0" borderId="2" xfId="0" applyBorder="1" applyAlignment="1">
      <alignment horizontal="center" vertical="center"/>
    </xf>
    <xf numFmtId="0" fontId="0" fillId="5" borderId="0" xfId="0" applyFill="1" applyProtection="1"/>
    <xf numFmtId="0" fontId="10" fillId="5" borderId="0" xfId="0" applyFont="1" applyFill="1" applyProtection="1"/>
    <xf numFmtId="0" fontId="13" fillId="0" borderId="0" xfId="0" applyFont="1" applyProtection="1"/>
    <xf numFmtId="0" fontId="0" fillId="0" borderId="0" xfId="0" applyAlignment="1" applyProtection="1">
      <alignment horizontal="center" vertical="center"/>
    </xf>
    <xf numFmtId="0" fontId="13" fillId="0" borderId="0" xfId="0" applyFont="1" applyAlignment="1" applyProtection="1">
      <alignment horizontal="center" vertical="center"/>
    </xf>
    <xf numFmtId="0" fontId="20" fillId="0" borderId="0" xfId="0" applyFont="1" applyAlignment="1" applyProtection="1">
      <alignment horizontal="center" vertical="center"/>
    </xf>
    <xf numFmtId="0" fontId="18" fillId="0" borderId="0" xfId="0" applyFont="1" applyProtection="1"/>
    <xf numFmtId="0" fontId="18" fillId="0" borderId="0" xfId="0" applyFont="1" applyFill="1" applyProtection="1"/>
    <xf numFmtId="0" fontId="18" fillId="2" borderId="2" xfId="0" applyFont="1" applyFill="1" applyBorder="1" applyProtection="1"/>
    <xf numFmtId="0" fontId="18" fillId="2" borderId="0" xfId="0" applyFont="1" applyFill="1" applyProtection="1"/>
    <xf numFmtId="9" fontId="18" fillId="0" borderId="2" xfId="4" applyFont="1" applyBorder="1" applyAlignment="1" applyProtection="1">
      <alignment horizontal="center" vertical="center"/>
    </xf>
    <xf numFmtId="0" fontId="18" fillId="0" borderId="0" xfId="0" applyFont="1" applyFill="1" applyBorder="1" applyProtection="1"/>
    <xf numFmtId="0" fontId="18" fillId="0" borderId="2" xfId="0" applyFont="1" applyFill="1" applyBorder="1" applyAlignment="1" applyProtection="1">
      <alignment horizontal="center" vertical="center"/>
    </xf>
    <xf numFmtId="165" fontId="18" fillId="0" borderId="2" xfId="1" applyNumberFormat="1" applyFont="1" applyFill="1" applyBorder="1" applyAlignment="1" applyProtection="1">
      <alignment horizontal="center" vertical="center"/>
    </xf>
    <xf numFmtId="0" fontId="15" fillId="2" borderId="0" xfId="0" applyFont="1" applyFill="1" applyAlignment="1" applyProtection="1">
      <alignment vertical="center"/>
    </xf>
    <xf numFmtId="0" fontId="10" fillId="0" borderId="0" xfId="0" applyFont="1" applyAlignment="1" applyProtection="1">
      <alignment vertical="center"/>
    </xf>
    <xf numFmtId="0" fontId="0" fillId="0" borderId="0" xfId="0" applyFill="1" applyProtection="1"/>
    <xf numFmtId="0" fontId="20" fillId="0" borderId="0" xfId="0" applyFont="1" applyFill="1" applyAlignment="1" applyProtection="1">
      <alignment horizontal="center" vertical="center"/>
    </xf>
    <xf numFmtId="0" fontId="21" fillId="6" borderId="0" xfId="0" applyFont="1" applyFill="1" applyProtection="1"/>
    <xf numFmtId="0" fontId="15" fillId="7" borderId="2" xfId="0" applyFont="1" applyFill="1" applyBorder="1" applyAlignment="1" applyProtection="1">
      <alignment horizontal="center" vertical="center"/>
      <protection locked="0"/>
    </xf>
    <xf numFmtId="165" fontId="15" fillId="7" borderId="2" xfId="1" applyNumberFormat="1" applyFont="1" applyFill="1" applyBorder="1" applyAlignment="1" applyProtection="1">
      <alignment horizontal="center" vertical="center"/>
      <protection locked="0"/>
    </xf>
    <xf numFmtId="0" fontId="15" fillId="7" borderId="3" xfId="0" applyFont="1" applyFill="1" applyBorder="1" applyAlignment="1" applyProtection="1">
      <alignment horizontal="center" vertical="center"/>
      <protection locked="0"/>
    </xf>
    <xf numFmtId="9" fontId="15" fillId="7" borderId="4" xfId="4" applyFont="1" applyFill="1" applyBorder="1" applyAlignment="1" applyProtection="1">
      <alignment horizontal="center" vertical="center"/>
      <protection locked="0"/>
    </xf>
    <xf numFmtId="9" fontId="15" fillId="7" borderId="5" xfId="4" applyFont="1" applyFill="1" applyBorder="1" applyAlignment="1" applyProtection="1">
      <alignment horizontal="center" vertical="center"/>
      <protection locked="0"/>
    </xf>
    <xf numFmtId="0" fontId="22" fillId="5" borderId="0" xfId="0" applyFont="1" applyFill="1" applyProtection="1"/>
    <xf numFmtId="0" fontId="0" fillId="3" borderId="2" xfId="0" applyFont="1" applyFill="1" applyBorder="1" applyAlignment="1" applyProtection="1">
      <alignment horizontal="center" vertical="center"/>
    </xf>
    <xf numFmtId="165" fontId="13" fillId="0" borderId="0" xfId="1" applyNumberFormat="1" applyFont="1" applyProtection="1"/>
    <xf numFmtId="10" fontId="13" fillId="0" borderId="0" xfId="0" applyNumberFormat="1" applyFont="1" applyProtection="1"/>
    <xf numFmtId="9" fontId="13" fillId="0" borderId="0" xfId="0" applyNumberFormat="1" applyFont="1" applyProtection="1"/>
    <xf numFmtId="165" fontId="10" fillId="0" borderId="0" xfId="1" applyNumberFormat="1" applyFont="1" applyBorder="1" applyAlignment="1" applyProtection="1">
      <alignment horizontal="center" vertical="center"/>
    </xf>
    <xf numFmtId="0" fontId="0" fillId="0" borderId="1" xfId="0" applyBorder="1" applyAlignment="1" applyProtection="1">
      <alignment horizontal="center" vertical="center"/>
    </xf>
    <xf numFmtId="165" fontId="9" fillId="0" borderId="0" xfId="1" applyNumberFormat="1" applyFont="1" applyAlignment="1" applyProtection="1">
      <alignment horizontal="center" vertical="center"/>
    </xf>
    <xf numFmtId="0" fontId="12" fillId="0" borderId="0" xfId="0" applyFont="1" applyProtection="1"/>
    <xf numFmtId="165" fontId="10" fillId="0" borderId="0" xfId="1" applyNumberFormat="1" applyFont="1" applyAlignment="1" applyProtection="1">
      <alignment horizontal="center" vertical="center"/>
    </xf>
    <xf numFmtId="165" fontId="13" fillId="0" borderId="0" xfId="0" applyNumberFormat="1" applyFont="1" applyProtection="1"/>
    <xf numFmtId="0" fontId="0" fillId="0" borderId="0" xfId="0" applyAlignment="1" applyProtection="1">
      <alignment horizontal="left"/>
    </xf>
    <xf numFmtId="0" fontId="0" fillId="0" borderId="0" xfId="0" applyBorder="1" applyProtection="1"/>
    <xf numFmtId="165" fontId="6" fillId="0" borderId="0" xfId="1" applyNumberFormat="1" applyFont="1" applyBorder="1" applyProtection="1"/>
    <xf numFmtId="165" fontId="6" fillId="0" borderId="0" xfId="1" applyNumberFormat="1" applyFont="1" applyAlignment="1" applyProtection="1">
      <alignment horizontal="right"/>
    </xf>
    <xf numFmtId="9" fontId="0" fillId="0" borderId="0" xfId="0" applyNumberFormat="1" applyBorder="1" applyProtection="1"/>
    <xf numFmtId="9" fontId="13" fillId="0" borderId="0" xfId="4" applyFont="1" applyBorder="1" applyProtection="1"/>
    <xf numFmtId="165" fontId="0" fillId="0" borderId="0" xfId="0" applyNumberFormat="1" applyProtection="1"/>
    <xf numFmtId="0" fontId="0" fillId="3" borderId="0" xfId="0" applyFont="1" applyFill="1" applyAlignment="1" applyProtection="1">
      <alignment horizontal="left"/>
    </xf>
    <xf numFmtId="0" fontId="0" fillId="3" borderId="0" xfId="0" applyFont="1" applyFill="1" applyAlignment="1" applyProtection="1">
      <alignment horizontal="center"/>
    </xf>
    <xf numFmtId="0" fontId="0" fillId="3" borderId="0" xfId="0" applyFont="1" applyFill="1" applyBorder="1" applyProtection="1"/>
    <xf numFmtId="165" fontId="6" fillId="3" borderId="0" xfId="1" applyNumberFormat="1" applyFont="1" applyFill="1" applyBorder="1" applyProtection="1"/>
    <xf numFmtId="0" fontId="10" fillId="0" borderId="0" xfId="0" applyFont="1" applyFill="1" applyBorder="1" applyProtection="1"/>
    <xf numFmtId="165" fontId="10" fillId="0" borderId="0" xfId="0" applyNumberFormat="1" applyFont="1" applyProtection="1"/>
    <xf numFmtId="0" fontId="10" fillId="0" borderId="0" xfId="0" applyFont="1" applyProtection="1"/>
    <xf numFmtId="0" fontId="0" fillId="0" borderId="0" xfId="0" applyFont="1" applyFill="1" applyAlignment="1" applyProtection="1">
      <alignment horizontal="left"/>
    </xf>
    <xf numFmtId="0" fontId="10" fillId="0" borderId="0" xfId="0" applyFont="1" applyFill="1" applyAlignment="1" applyProtection="1">
      <alignment horizontal="center"/>
    </xf>
    <xf numFmtId="165" fontId="10" fillId="0" borderId="0" xfId="1" applyNumberFormat="1" applyFont="1" applyFill="1" applyBorder="1" applyAlignment="1" applyProtection="1">
      <alignment horizontal="center"/>
    </xf>
    <xf numFmtId="165" fontId="6" fillId="0" borderId="0" xfId="1" applyNumberFormat="1" applyFont="1" applyFill="1" applyBorder="1" applyAlignment="1" applyProtection="1">
      <alignment horizontal="center"/>
    </xf>
    <xf numFmtId="165" fontId="6" fillId="0" borderId="0" xfId="1" applyNumberFormat="1" applyFont="1" applyFill="1" applyBorder="1" applyProtection="1"/>
    <xf numFmtId="165" fontId="10" fillId="0" borderId="0" xfId="0" applyNumberFormat="1" applyFont="1" applyFill="1" applyProtection="1"/>
    <xf numFmtId="0" fontId="10" fillId="0" borderId="0" xfId="0" applyFont="1" applyFill="1" applyProtection="1"/>
    <xf numFmtId="9" fontId="6" fillId="0" borderId="0" xfId="4" applyFont="1" applyBorder="1" applyProtection="1"/>
    <xf numFmtId="43" fontId="16" fillId="0" borderId="0" xfId="0" applyNumberFormat="1" applyFont="1" applyFill="1" applyProtection="1"/>
    <xf numFmtId="0" fontId="16" fillId="0" borderId="0" xfId="0" applyFont="1" applyProtection="1"/>
    <xf numFmtId="165" fontId="16" fillId="0" borderId="0" xfId="1" applyNumberFormat="1" applyFont="1" applyProtection="1"/>
    <xf numFmtId="0" fontId="0" fillId="3" borderId="0" xfId="0" applyFill="1" applyAlignment="1" applyProtection="1">
      <alignment horizontal="left"/>
    </xf>
    <xf numFmtId="0" fontId="0" fillId="3" borderId="0" xfId="0" applyFill="1" applyAlignment="1" applyProtection="1">
      <alignment horizontal="center"/>
    </xf>
    <xf numFmtId="0" fontId="0" fillId="3" borderId="0" xfId="0" applyFill="1" applyBorder="1" applyProtection="1"/>
    <xf numFmtId="165" fontId="6" fillId="3" borderId="0" xfId="1" applyNumberFormat="1" applyFont="1" applyFill="1" applyBorder="1" applyProtection="1"/>
    <xf numFmtId="165" fontId="6" fillId="0" borderId="0" xfId="1" applyNumberFormat="1" applyFont="1" applyFill="1" applyBorder="1" applyProtection="1"/>
    <xf numFmtId="166" fontId="0" fillId="0" borderId="0" xfId="0" applyNumberFormat="1" applyAlignment="1" applyProtection="1">
      <alignment horizontal="right"/>
    </xf>
    <xf numFmtId="165" fontId="6" fillId="0" borderId="0" xfId="1" applyNumberFormat="1" applyFont="1" applyFill="1" applyProtection="1"/>
    <xf numFmtId="0" fontId="10" fillId="3" borderId="0" xfId="0" applyFont="1" applyFill="1" applyAlignment="1" applyProtection="1">
      <alignment horizontal="left"/>
    </xf>
    <xf numFmtId="0" fontId="10" fillId="3" borderId="0" xfId="0" applyFont="1" applyFill="1" applyAlignment="1" applyProtection="1">
      <alignment horizontal="center"/>
    </xf>
    <xf numFmtId="0" fontId="10" fillId="3" borderId="0" xfId="0" applyFont="1" applyFill="1" applyProtection="1"/>
    <xf numFmtId="165" fontId="10" fillId="3" borderId="6" xfId="1" applyNumberFormat="1" applyFont="1" applyFill="1" applyBorder="1" applyProtection="1"/>
    <xf numFmtId="0" fontId="10" fillId="3" borderId="2" xfId="0" applyFont="1" applyFill="1" applyBorder="1" applyAlignment="1" applyProtection="1">
      <alignment horizontal="center" vertical="center"/>
    </xf>
    <xf numFmtId="165" fontId="10" fillId="3" borderId="2" xfId="1" applyNumberFormat="1" applyFont="1" applyFill="1" applyBorder="1" applyAlignment="1" applyProtection="1">
      <alignment horizontal="center" vertical="center"/>
    </xf>
    <xf numFmtId="0" fontId="0" fillId="0" borderId="2" xfId="0" applyBorder="1" applyAlignment="1" applyProtection="1">
      <alignment horizontal="center" vertical="center"/>
    </xf>
    <xf numFmtId="165" fontId="6" fillId="0" borderId="2" xfId="1" applyNumberFormat="1" applyFont="1" applyBorder="1" applyAlignment="1" applyProtection="1">
      <alignment horizontal="center" vertical="center"/>
    </xf>
    <xf numFmtId="165" fontId="6" fillId="0" borderId="2" xfId="1" applyNumberFormat="1" applyFont="1" applyBorder="1" applyProtection="1"/>
    <xf numFmtId="9" fontId="13" fillId="0" borderId="0" xfId="0" applyNumberFormat="1" applyFont="1" applyAlignment="1" applyProtection="1">
      <alignment horizontal="right"/>
    </xf>
    <xf numFmtId="9" fontId="13" fillId="0" borderId="0" xfId="0" applyNumberFormat="1" applyFont="1" applyAlignment="1" applyProtection="1">
      <alignment horizontal="right" vertical="center"/>
    </xf>
    <xf numFmtId="165" fontId="13" fillId="0" borderId="0" xfId="1" applyNumberFormat="1" applyFont="1" applyAlignment="1" applyProtection="1">
      <alignment horizontal="center" vertical="center"/>
    </xf>
    <xf numFmtId="0" fontId="0" fillId="0" borderId="0" xfId="0" applyBorder="1" applyAlignment="1" applyProtection="1">
      <alignment horizontal="center" vertical="center"/>
    </xf>
    <xf numFmtId="43" fontId="6" fillId="0" borderId="0" xfId="1" applyNumberFormat="1" applyFont="1" applyBorder="1" applyAlignment="1" applyProtection="1">
      <alignment horizontal="center" vertical="center"/>
    </xf>
    <xf numFmtId="165" fontId="6" fillId="0" borderId="0" xfId="1" applyNumberFormat="1" applyFont="1" applyBorder="1" applyAlignment="1" applyProtection="1">
      <alignment horizontal="center" vertical="center"/>
    </xf>
    <xf numFmtId="0" fontId="13" fillId="0" borderId="0" xfId="0" applyFont="1" applyBorder="1" applyProtection="1"/>
    <xf numFmtId="0" fontId="0" fillId="0" borderId="7" xfId="0" applyBorder="1" applyProtection="1"/>
    <xf numFmtId="0" fontId="0" fillId="0" borderId="7" xfId="0" applyBorder="1" applyAlignment="1" applyProtection="1">
      <alignment horizontal="center"/>
    </xf>
    <xf numFmtId="165" fontId="6" fillId="0" borderId="7" xfId="1" applyNumberFormat="1" applyFont="1" applyBorder="1" applyProtection="1"/>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xf>
    <xf numFmtId="165" fontId="10" fillId="0" borderId="0" xfId="1" applyNumberFormat="1" applyFont="1" applyFill="1" applyBorder="1" applyProtection="1"/>
    <xf numFmtId="0" fontId="16" fillId="0" borderId="0" xfId="0" applyFont="1" applyFill="1" applyBorder="1" applyProtection="1"/>
    <xf numFmtId="165" fontId="6" fillId="0" borderId="8" xfId="1" applyNumberFormat="1" applyFont="1" applyBorder="1" applyAlignment="1" applyProtection="1">
      <alignment horizontal="center" vertical="center"/>
    </xf>
    <xf numFmtId="43" fontId="6" fillId="0" borderId="2" xfId="1" applyNumberFormat="1" applyFont="1" applyBorder="1" applyAlignment="1" applyProtection="1">
      <alignment horizontal="center" vertical="center"/>
    </xf>
    <xf numFmtId="165" fontId="9" fillId="0" borderId="0" xfId="2" applyNumberFormat="1" applyAlignment="1" applyProtection="1">
      <alignment horizontal="center" vertical="center"/>
    </xf>
    <xf numFmtId="0" fontId="10" fillId="0" borderId="0" xfId="0" applyFont="1" applyFill="1" applyAlignment="1" applyProtection="1">
      <alignment horizontal="left"/>
    </xf>
    <xf numFmtId="0" fontId="16" fillId="0" borderId="0" xfId="0" applyFont="1" applyFill="1" applyProtection="1"/>
    <xf numFmtId="165" fontId="16" fillId="0" borderId="0" xfId="1" applyNumberFormat="1" applyFont="1" applyFill="1" applyProtection="1"/>
    <xf numFmtId="0" fontId="10" fillId="0" borderId="0" xfId="0" applyFont="1" applyAlignment="1" applyProtection="1">
      <alignment horizontal="center"/>
    </xf>
    <xf numFmtId="9" fontId="0" fillId="0" borderId="0" xfId="0" applyNumberFormat="1" applyProtection="1"/>
    <xf numFmtId="0" fontId="9" fillId="0" borderId="0" xfId="2" applyFill="1" applyAlignment="1" applyProtection="1">
      <alignment horizontal="center"/>
      <protection hidden="1"/>
    </xf>
    <xf numFmtId="165" fontId="10" fillId="0" borderId="0" xfId="1" applyNumberFormat="1" applyFont="1" applyFill="1" applyAlignment="1">
      <alignment horizontal="center" vertical="center"/>
    </xf>
    <xf numFmtId="165" fontId="10" fillId="0" borderId="0" xfId="1" applyNumberFormat="1" applyFont="1" applyFill="1"/>
    <xf numFmtId="165" fontId="10" fillId="0" borderId="0" xfId="1" applyNumberFormat="1" applyFont="1" applyFill="1" applyBorder="1" applyAlignment="1">
      <alignment horizontal="center" vertical="center"/>
    </xf>
    <xf numFmtId="0" fontId="19" fillId="0" borderId="0" xfId="0" applyFont="1" applyFill="1" applyAlignment="1" applyProtection="1">
      <alignment horizontal="left" vertical="center" wrapText="1"/>
      <protection hidden="1"/>
    </xf>
    <xf numFmtId="0" fontId="17" fillId="0" borderId="0" xfId="0" applyFont="1" applyFill="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0" fillId="0" borderId="0" xfId="0" applyFont="1" applyFill="1" applyBorder="1" applyAlignment="1">
      <alignment horizontal="center" vertical="center"/>
    </xf>
    <xf numFmtId="0" fontId="0" fillId="0" borderId="0" xfId="0" applyFill="1"/>
    <xf numFmtId="165" fontId="10" fillId="0" borderId="0" xfId="1" applyNumberFormat="1" applyFont="1" applyFill="1" applyAlignment="1" applyProtection="1">
      <alignment horizontal="center" vertical="center"/>
    </xf>
    <xf numFmtId="165" fontId="10" fillId="0" borderId="0" xfId="1" applyNumberFormat="1" applyFont="1" applyFill="1" applyProtection="1"/>
    <xf numFmtId="165" fontId="10" fillId="0" borderId="0" xfId="1" applyNumberFormat="1" applyFont="1" applyFill="1" applyBorder="1" applyAlignment="1" applyProtection="1">
      <alignment horizontal="center" vertical="center"/>
    </xf>
    <xf numFmtId="165" fontId="0" fillId="0" borderId="0" xfId="0" applyNumberFormat="1" applyFill="1" applyBorder="1" applyAlignment="1" applyProtection="1">
      <alignment horizontal="center" vertical="center"/>
    </xf>
    <xf numFmtId="0" fontId="10" fillId="0" borderId="0" xfId="0" applyFont="1" applyFill="1" applyBorder="1" applyAlignment="1" applyProtection="1">
      <alignment horizontal="center" vertical="center"/>
    </xf>
    <xf numFmtId="165" fontId="0" fillId="0" borderId="0" xfId="0" applyNumberFormat="1" applyFill="1" applyBorder="1" applyAlignment="1">
      <alignment horizontal="center" vertical="center"/>
    </xf>
    <xf numFmtId="0" fontId="0" fillId="0" borderId="2" xfId="0" applyBorder="1" applyAlignment="1" applyProtection="1">
      <alignment horizontal="center" vertical="center"/>
    </xf>
    <xf numFmtId="0" fontId="0" fillId="3" borderId="2"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165" fontId="13" fillId="0" borderId="0" xfId="1" applyNumberFormat="1" applyFont="1" applyAlignment="1" applyProtection="1">
      <alignment vertical="center"/>
      <protection hidden="1"/>
    </xf>
    <xf numFmtId="10" fontId="13" fillId="0" borderId="0" xfId="0" applyNumberFormat="1" applyFont="1" applyAlignment="1" applyProtection="1">
      <alignment vertical="center"/>
      <protection hidden="1"/>
    </xf>
    <xf numFmtId="165" fontId="10" fillId="0" borderId="0" xfId="1" applyNumberFormat="1" applyFont="1" applyBorder="1" applyAlignment="1" applyProtection="1">
      <alignment horizontal="center" vertical="center"/>
      <protection hidden="1"/>
    </xf>
    <xf numFmtId="0" fontId="0" fillId="0" borderId="0" xfId="0" applyAlignment="1" applyProtection="1">
      <alignment horizontal="center" vertical="center"/>
      <protection hidden="1"/>
    </xf>
    <xf numFmtId="165" fontId="13" fillId="0" borderId="0" xfId="0" applyNumberFormat="1" applyFont="1" applyAlignment="1" applyProtection="1">
      <alignment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43" fontId="13" fillId="0" borderId="0" xfId="0" applyNumberFormat="1" applyFont="1" applyBorder="1" applyAlignment="1" applyProtection="1">
      <alignment vertical="center"/>
      <protection hidden="1"/>
    </xf>
    <xf numFmtId="0" fontId="13" fillId="0" borderId="0" xfId="0" applyFont="1" applyBorder="1" applyAlignment="1" applyProtection="1">
      <alignment vertical="center"/>
      <protection hidden="1"/>
    </xf>
    <xf numFmtId="165" fontId="13" fillId="0" borderId="0" xfId="1" applyNumberFormat="1" applyFont="1" applyBorder="1" applyAlignment="1" applyProtection="1">
      <alignment vertical="center"/>
      <protection hidden="1"/>
    </xf>
    <xf numFmtId="0" fontId="0" fillId="3" borderId="0" xfId="0" applyFont="1" applyFill="1" applyBorder="1" applyAlignment="1" applyProtection="1">
      <alignment horizontal="left" vertical="center"/>
      <protection hidden="1"/>
    </xf>
    <xf numFmtId="0" fontId="0" fillId="3" borderId="0" xfId="0" applyFont="1" applyFill="1" applyBorder="1" applyAlignment="1" applyProtection="1">
      <alignment horizontal="center" vertical="center"/>
      <protection hidden="1"/>
    </xf>
    <xf numFmtId="0" fontId="0" fillId="3"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3" fontId="13" fillId="0" borderId="0" xfId="0" applyNumberFormat="1"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165" fontId="13" fillId="0" borderId="0" xfId="1" applyNumberFormat="1" applyFont="1" applyFill="1" applyBorder="1" applyAlignment="1" applyProtection="1">
      <alignment vertical="center"/>
      <protection hidden="1"/>
    </xf>
    <xf numFmtId="9" fontId="0" fillId="0" borderId="0" xfId="0" applyNumberFormat="1" applyFont="1" applyBorder="1" applyAlignment="1" applyProtection="1">
      <alignment vertical="center"/>
      <protection hidden="1"/>
    </xf>
    <xf numFmtId="0" fontId="0" fillId="0" borderId="0" xfId="0" applyAlignment="1" applyProtection="1">
      <alignment horizontal="left" vertical="center"/>
      <protection hidden="1"/>
    </xf>
    <xf numFmtId="165" fontId="6" fillId="0" borderId="0" xfId="1" applyNumberFormat="1" applyFont="1" applyFill="1" applyBorder="1" applyAlignment="1" applyProtection="1">
      <alignment vertical="center"/>
      <protection hidden="1"/>
    </xf>
    <xf numFmtId="0" fontId="10" fillId="3" borderId="0" xfId="0" applyFont="1" applyFill="1" applyAlignment="1" applyProtection="1">
      <alignment horizontal="left" vertical="center"/>
      <protection hidden="1"/>
    </xf>
    <xf numFmtId="0" fontId="10" fillId="3" borderId="0" xfId="0" applyFont="1" applyFill="1" applyAlignment="1" applyProtection="1">
      <alignment horizontal="center" vertical="center"/>
      <protection hidden="1"/>
    </xf>
    <xf numFmtId="0" fontId="10" fillId="3" borderId="0" xfId="0" applyFont="1" applyFill="1" applyAlignment="1" applyProtection="1">
      <alignment vertical="center"/>
      <protection hidden="1"/>
    </xf>
    <xf numFmtId="165" fontId="10" fillId="3" borderId="6" xfId="1"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0" fontId="16" fillId="0" borderId="0" xfId="0" applyFont="1" applyAlignment="1" applyProtection="1">
      <alignment vertical="center"/>
      <protection hidden="1"/>
    </xf>
    <xf numFmtId="165" fontId="16" fillId="0" borderId="0" xfId="1" applyNumberFormat="1" applyFont="1" applyAlignment="1" applyProtection="1">
      <alignment vertical="center"/>
      <protection hidden="1"/>
    </xf>
    <xf numFmtId="0" fontId="10" fillId="3" borderId="2"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165" fontId="6" fillId="0" borderId="0" xfId="1" applyNumberFormat="1" applyFont="1" applyBorder="1" applyProtection="1">
      <protection hidden="1"/>
    </xf>
    <xf numFmtId="165" fontId="10" fillId="0" borderId="0" xfId="1" applyNumberFormat="1" applyFont="1" applyAlignment="1">
      <alignment horizontal="right" vertical="center"/>
    </xf>
    <xf numFmtId="0" fontId="9" fillId="2" borderId="0" xfId="2" applyFill="1" applyAlignment="1" applyProtection="1">
      <alignment horizontal="right"/>
      <protection locked="0"/>
    </xf>
    <xf numFmtId="165" fontId="10" fillId="0" borderId="0" xfId="1" applyNumberFormat="1" applyFont="1" applyAlignment="1">
      <alignment horizontal="right" vertical="center" indent="1"/>
    </xf>
    <xf numFmtId="165" fontId="10" fillId="0" borderId="0" xfId="1" applyNumberFormat="1" applyFont="1" applyAlignment="1" applyProtection="1">
      <alignment horizontal="right" vertical="center"/>
    </xf>
    <xf numFmtId="0" fontId="9" fillId="0" borderId="0" xfId="2" applyFill="1" applyAlignment="1" applyProtection="1">
      <alignment horizontal="right"/>
      <protection locked="0"/>
    </xf>
    <xf numFmtId="0" fontId="0" fillId="0" borderId="0" xfId="0" applyProtection="1">
      <protection hidden="1"/>
    </xf>
    <xf numFmtId="165" fontId="6" fillId="0" borderId="0" xfId="1" applyNumberFormat="1" applyFont="1" applyProtection="1">
      <protection hidden="1"/>
    </xf>
    <xf numFmtId="0" fontId="13" fillId="0" borderId="0" xfId="0" applyFont="1" applyProtection="1">
      <protection hidden="1"/>
    </xf>
    <xf numFmtId="165" fontId="13" fillId="0" borderId="0" xfId="1" applyNumberFormat="1" applyFont="1" applyProtection="1">
      <protection hidden="1"/>
    </xf>
    <xf numFmtId="0" fontId="0" fillId="0" borderId="2" xfId="0"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Fill="1" applyProtection="1">
      <protection hidden="1"/>
    </xf>
    <xf numFmtId="10" fontId="13" fillId="0" borderId="0" xfId="0" applyNumberFormat="1" applyFont="1" applyProtection="1">
      <protection hidden="1"/>
    </xf>
    <xf numFmtId="0" fontId="12" fillId="8" borderId="9" xfId="0" applyFont="1" applyFill="1" applyBorder="1" applyProtection="1">
      <protection hidden="1"/>
    </xf>
    <xf numFmtId="0" fontId="0" fillId="8" borderId="10" xfId="0" applyFill="1" applyBorder="1" applyAlignment="1" applyProtection="1">
      <alignment horizontal="center"/>
      <protection hidden="1"/>
    </xf>
    <xf numFmtId="0" fontId="0" fillId="8" borderId="10" xfId="0" applyFill="1" applyBorder="1" applyProtection="1">
      <protection hidden="1"/>
    </xf>
    <xf numFmtId="165" fontId="6" fillId="8" borderId="10" xfId="1" applyNumberFormat="1" applyFont="1" applyFill="1" applyBorder="1" applyProtection="1">
      <protection hidden="1"/>
    </xf>
    <xf numFmtId="165" fontId="6" fillId="8" borderId="11" xfId="1" applyNumberFormat="1" applyFont="1" applyFill="1" applyBorder="1" applyProtection="1">
      <protection hidden="1"/>
    </xf>
    <xf numFmtId="0" fontId="12" fillId="0" borderId="12" xfId="0" applyFont="1" applyBorder="1" applyProtection="1">
      <protection hidden="1"/>
    </xf>
    <xf numFmtId="0" fontId="0" fillId="0" borderId="0" xfId="0" applyBorder="1" applyAlignment="1" applyProtection="1">
      <alignment horizontal="center"/>
      <protection hidden="1"/>
    </xf>
    <xf numFmtId="0" fontId="0" fillId="0" borderId="0" xfId="0" applyBorder="1" applyProtection="1">
      <protection hidden="1"/>
    </xf>
    <xf numFmtId="165" fontId="10" fillId="0" borderId="13" xfId="1" applyNumberFormat="1" applyFont="1" applyBorder="1" applyAlignment="1" applyProtection="1">
      <alignment horizontal="right" vertical="center" indent="1"/>
      <protection hidden="1"/>
    </xf>
    <xf numFmtId="0" fontId="0" fillId="0" borderId="12" xfId="0" applyBorder="1" applyProtection="1">
      <protection hidden="1"/>
    </xf>
    <xf numFmtId="165" fontId="6" fillId="0" borderId="13" xfId="1" applyNumberFormat="1" applyFont="1" applyBorder="1" applyProtection="1">
      <protection hidden="1"/>
    </xf>
    <xf numFmtId="165" fontId="13" fillId="0" borderId="0" xfId="0" applyNumberFormat="1" applyFont="1" applyProtection="1">
      <protection hidden="1"/>
    </xf>
    <xf numFmtId="0" fontId="0" fillId="0" borderId="12" xfId="0" applyBorder="1" applyAlignment="1" applyProtection="1">
      <alignment horizontal="left"/>
      <protection hidden="1"/>
    </xf>
    <xf numFmtId="9" fontId="0" fillId="0" borderId="0" xfId="0" applyNumberFormat="1" applyBorder="1" applyProtection="1">
      <protection hidden="1"/>
    </xf>
    <xf numFmtId="165" fontId="6" fillId="0" borderId="14" xfId="1" applyNumberFormat="1" applyFont="1" applyBorder="1" applyProtection="1">
      <protection hidden="1"/>
    </xf>
    <xf numFmtId="43" fontId="13" fillId="0" borderId="0" xfId="0" applyNumberFormat="1" applyFont="1" applyProtection="1">
      <protection hidden="1"/>
    </xf>
    <xf numFmtId="0" fontId="10" fillId="3" borderId="12" xfId="0" applyFont="1" applyFill="1" applyBorder="1" applyAlignment="1" applyProtection="1">
      <alignment horizontal="left"/>
      <protection hidden="1"/>
    </xf>
    <xf numFmtId="0" fontId="10" fillId="3" borderId="0" xfId="0" applyFont="1" applyFill="1" applyBorder="1" applyAlignment="1" applyProtection="1">
      <alignment horizontal="center"/>
      <protection hidden="1"/>
    </xf>
    <xf numFmtId="0" fontId="10" fillId="3" borderId="0" xfId="0" applyFont="1" applyFill="1" applyBorder="1" applyProtection="1">
      <protection hidden="1"/>
    </xf>
    <xf numFmtId="165" fontId="10" fillId="3" borderId="13" xfId="1" applyNumberFormat="1" applyFont="1" applyFill="1" applyBorder="1" applyProtection="1">
      <protection hidden="1"/>
    </xf>
    <xf numFmtId="43" fontId="16" fillId="0" borderId="0" xfId="0" applyNumberFormat="1" applyFont="1" applyFill="1" applyProtection="1">
      <protection hidden="1"/>
    </xf>
    <xf numFmtId="0" fontId="10" fillId="0" borderId="0" xfId="0" applyFont="1" applyProtection="1">
      <protection hidden="1"/>
    </xf>
    <xf numFmtId="165" fontId="10" fillId="3" borderId="15" xfId="1" applyNumberFormat="1" applyFont="1" applyFill="1" applyBorder="1" applyAlignment="1" applyProtection="1">
      <alignment horizontal="center" vertical="center"/>
      <protection hidden="1"/>
    </xf>
    <xf numFmtId="0" fontId="0" fillId="8" borderId="11" xfId="0" applyFill="1" applyBorder="1" applyProtection="1">
      <protection hidden="1"/>
    </xf>
    <xf numFmtId="165" fontId="10" fillId="3" borderId="16" xfId="1" applyNumberFormat="1" applyFont="1" applyFill="1" applyBorder="1" applyProtection="1">
      <protection hidden="1"/>
    </xf>
    <xf numFmtId="9" fontId="0" fillId="0" borderId="0" xfId="0" applyNumberFormat="1" applyAlignment="1" applyProtection="1">
      <alignment horizontal="center" vertical="center"/>
      <protection hidden="1"/>
    </xf>
    <xf numFmtId="165" fontId="6" fillId="0" borderId="0" xfId="1" applyNumberFormat="1" applyFont="1" applyFill="1" applyProtection="1">
      <protection hidden="1"/>
    </xf>
    <xf numFmtId="165" fontId="10" fillId="0" borderId="0" xfId="1" applyNumberFormat="1" applyFont="1" applyFill="1" applyAlignment="1" applyProtection="1">
      <alignment horizontal="center" vertical="center"/>
      <protection hidden="1"/>
    </xf>
    <xf numFmtId="165" fontId="10" fillId="0" borderId="0" xfId="1" applyNumberFormat="1" applyFont="1" applyFill="1" applyProtection="1">
      <protection hidden="1"/>
    </xf>
    <xf numFmtId="165" fontId="10" fillId="0" borderId="0" xfId="1" applyNumberFormat="1" applyFont="1" applyFill="1" applyBorder="1" applyAlignment="1" applyProtection="1">
      <alignment horizontal="center" vertical="center"/>
      <protection hidden="1"/>
    </xf>
    <xf numFmtId="165" fontId="10" fillId="3" borderId="17" xfId="1" applyNumberFormat="1" applyFont="1" applyFill="1" applyBorder="1" applyProtection="1">
      <protection hidden="1"/>
    </xf>
    <xf numFmtId="0" fontId="12" fillId="0" borderId="0" xfId="0" applyFont="1" applyProtection="1">
      <protection hidden="1"/>
    </xf>
    <xf numFmtId="0" fontId="0" fillId="0" borderId="0" xfId="0" applyFont="1" applyBorder="1" applyAlignment="1" applyProtection="1">
      <alignment horizontal="left"/>
      <protection hidden="1"/>
    </xf>
    <xf numFmtId="0" fontId="0" fillId="0" borderId="0" xfId="0" applyFont="1" applyBorder="1" applyAlignment="1" applyProtection="1">
      <alignment horizontal="center"/>
      <protection hidden="1"/>
    </xf>
    <xf numFmtId="0" fontId="0" fillId="0" borderId="0" xfId="0" applyFont="1" applyBorder="1" applyProtection="1">
      <protection hidden="1"/>
    </xf>
    <xf numFmtId="43" fontId="13" fillId="0" borderId="0" xfId="0" applyNumberFormat="1" applyFont="1" applyBorder="1" applyProtection="1">
      <protection hidden="1"/>
    </xf>
    <xf numFmtId="0" fontId="13" fillId="0" borderId="0" xfId="0" applyFont="1" applyBorder="1" applyProtection="1">
      <protection hidden="1"/>
    </xf>
    <xf numFmtId="165" fontId="13" fillId="0" borderId="0" xfId="1" applyNumberFormat="1" applyFont="1" applyBorder="1" applyProtection="1">
      <protection hidden="1"/>
    </xf>
    <xf numFmtId="0" fontId="0" fillId="0" borderId="0" xfId="0" applyFont="1" applyFill="1" applyBorder="1" applyProtection="1">
      <protection hidden="1"/>
    </xf>
    <xf numFmtId="43" fontId="13" fillId="0" borderId="0" xfId="0" applyNumberFormat="1" applyFont="1" applyFill="1" applyBorder="1" applyProtection="1">
      <protection hidden="1"/>
    </xf>
    <xf numFmtId="0" fontId="13" fillId="0" borderId="0" xfId="0" applyFont="1" applyFill="1" applyBorder="1" applyProtection="1">
      <protection hidden="1"/>
    </xf>
    <xf numFmtId="165" fontId="13" fillId="0" borderId="0" xfId="1" applyNumberFormat="1" applyFont="1" applyFill="1" applyBorder="1" applyProtection="1">
      <protection hidden="1"/>
    </xf>
    <xf numFmtId="9" fontId="6" fillId="0" borderId="0" xfId="4" applyFont="1" applyBorder="1" applyProtection="1">
      <protection hidden="1"/>
    </xf>
    <xf numFmtId="165" fontId="0" fillId="0" borderId="0" xfId="0" applyNumberFormat="1" applyFont="1" applyBorder="1" applyProtection="1">
      <protection hidden="1"/>
    </xf>
    <xf numFmtId="0" fontId="0" fillId="0" borderId="0" xfId="0" applyAlignment="1" applyProtection="1">
      <alignment horizontal="left"/>
      <protection hidden="1"/>
    </xf>
    <xf numFmtId="166" fontId="0" fillId="0" borderId="0" xfId="0" applyNumberFormat="1" applyAlignment="1" applyProtection="1">
      <alignment horizontal="right"/>
      <protection hidden="1"/>
    </xf>
    <xf numFmtId="0" fontId="16" fillId="0" borderId="0" xfId="0" applyFont="1" applyProtection="1">
      <protection hidden="1"/>
    </xf>
    <xf numFmtId="0" fontId="10" fillId="0" borderId="0" xfId="0" applyFont="1" applyFill="1" applyAlignment="1" applyProtection="1">
      <alignment horizontal="left"/>
      <protection hidden="1"/>
    </xf>
    <xf numFmtId="0" fontId="10" fillId="0" borderId="0" xfId="0" applyFont="1" applyFill="1" applyAlignment="1" applyProtection="1">
      <alignment horizontal="center"/>
      <protection hidden="1"/>
    </xf>
    <xf numFmtId="0" fontId="10" fillId="0" borderId="0" xfId="0" applyFont="1" applyFill="1" applyProtection="1">
      <protection hidden="1"/>
    </xf>
    <xf numFmtId="165" fontId="10" fillId="0" borderId="18" xfId="1" applyNumberFormat="1" applyFont="1" applyFill="1" applyBorder="1" applyAlignment="1" applyProtection="1">
      <alignment horizontal="center"/>
      <protection hidden="1"/>
    </xf>
    <xf numFmtId="0" fontId="16" fillId="0" borderId="0" xfId="0" applyFont="1" applyFill="1" applyProtection="1">
      <protection hidden="1"/>
    </xf>
    <xf numFmtId="165" fontId="16" fillId="0" borderId="0" xfId="1" applyNumberFormat="1" applyFont="1" applyFill="1" applyProtection="1">
      <protection hidden="1"/>
    </xf>
    <xf numFmtId="9" fontId="13" fillId="0" borderId="0" xfId="0" applyNumberFormat="1" applyFont="1" applyProtection="1">
      <protection hidden="1"/>
    </xf>
    <xf numFmtId="0" fontId="0" fillId="0" borderId="7" xfId="0" applyBorder="1" applyProtection="1">
      <protection hidden="1"/>
    </xf>
    <xf numFmtId="0" fontId="0" fillId="0" borderId="7" xfId="0" applyBorder="1" applyAlignment="1" applyProtection="1">
      <alignment horizontal="center"/>
      <protection hidden="1"/>
    </xf>
    <xf numFmtId="165" fontId="6" fillId="0" borderId="7" xfId="1" applyNumberFormat="1" applyFont="1" applyBorder="1" applyProtection="1">
      <protection hidden="1"/>
    </xf>
    <xf numFmtId="0" fontId="23" fillId="0" borderId="15" xfId="0" applyFont="1" applyBorder="1" applyAlignment="1" applyProtection="1">
      <alignment horizontal="center" vertical="center"/>
      <protection hidden="1"/>
    </xf>
    <xf numFmtId="0" fontId="23" fillId="0" borderId="19"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Alignment="1" applyProtection="1">
      <alignment horizontal="center"/>
      <protection hidden="1"/>
    </xf>
    <xf numFmtId="0" fontId="15" fillId="4" borderId="2"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hidden="1"/>
    </xf>
    <xf numFmtId="0" fontId="18" fillId="2" borderId="2" xfId="0" quotePrefix="1" applyFont="1" applyFill="1" applyBorder="1" applyAlignment="1" applyProtection="1">
      <alignment horizontal="center" vertical="center"/>
      <protection hidden="1"/>
    </xf>
    <xf numFmtId="4" fontId="18" fillId="2" borderId="2" xfId="1" applyNumberFormat="1" applyFont="1" applyFill="1" applyBorder="1" applyAlignment="1" applyProtection="1">
      <alignment horizontal="center" vertical="center"/>
      <protection hidden="1"/>
    </xf>
    <xf numFmtId="165" fontId="18" fillId="2" borderId="2" xfId="1" applyNumberFormat="1" applyFont="1" applyFill="1" applyBorder="1" applyAlignment="1" applyProtection="1">
      <alignment horizontal="center" vertical="center"/>
      <protection hidden="1"/>
    </xf>
    <xf numFmtId="0" fontId="18" fillId="0" borderId="0" xfId="0" applyFont="1" applyAlignment="1">
      <alignment horizontal="center" vertical="center"/>
    </xf>
    <xf numFmtId="2" fontId="18" fillId="0" borderId="2" xfId="1" applyNumberFormat="1" applyFont="1" applyFill="1" applyBorder="1" applyAlignment="1" applyProtection="1">
      <alignment horizontal="center" vertical="center"/>
    </xf>
    <xf numFmtId="3" fontId="18" fillId="0" borderId="2" xfId="1" applyNumberFormat="1" applyFont="1" applyFill="1" applyBorder="1" applyAlignment="1" applyProtection="1">
      <alignment horizontal="center" vertical="center"/>
    </xf>
    <xf numFmtId="0" fontId="8" fillId="9" borderId="47" xfId="0" applyFont="1" applyFill="1" applyBorder="1" applyAlignment="1" applyProtection="1">
      <alignment horizontal="center" vertical="center" wrapText="1"/>
      <protection hidden="1"/>
    </xf>
    <xf numFmtId="0" fontId="7" fillId="9" borderId="47" xfId="0" applyFont="1" applyFill="1" applyBorder="1" applyAlignment="1">
      <alignment horizontal="center" vertical="center"/>
    </xf>
    <xf numFmtId="165" fontId="7" fillId="9" borderId="47" xfId="0" applyNumberFormat="1" applyFont="1" applyFill="1" applyBorder="1" applyAlignment="1" applyProtection="1">
      <alignment horizontal="center" vertical="center"/>
      <protection hidden="1"/>
    </xf>
    <xf numFmtId="0" fontId="18" fillId="2" borderId="8" xfId="0" applyFont="1" applyFill="1" applyBorder="1" applyProtection="1"/>
    <xf numFmtId="0" fontId="18" fillId="2" borderId="20" xfId="0" applyFont="1" applyFill="1" applyBorder="1" applyProtection="1"/>
    <xf numFmtId="0" fontId="18" fillId="0" borderId="2" xfId="0" applyFont="1" applyBorder="1" applyProtection="1"/>
    <xf numFmtId="0" fontId="18" fillId="2" borderId="8" xfId="0" applyFont="1" applyFill="1" applyBorder="1" applyAlignment="1" applyProtection="1">
      <alignment horizontal="left" vertical="center"/>
    </xf>
    <xf numFmtId="0" fontId="18" fillId="2" borderId="21" xfId="0" applyFont="1" applyFill="1" applyBorder="1" applyAlignment="1" applyProtection="1">
      <alignment horizontal="center" vertical="center"/>
    </xf>
    <xf numFmtId="0" fontId="18" fillId="2" borderId="8" xfId="0" applyFont="1" applyFill="1" applyBorder="1" applyAlignment="1" applyProtection="1">
      <alignment horizontal="center" vertical="center" wrapText="1"/>
    </xf>
    <xf numFmtId="0" fontId="18" fillId="0" borderId="21" xfId="0" applyFont="1" applyBorder="1" applyProtection="1"/>
    <xf numFmtId="0" fontId="18" fillId="0" borderId="0" xfId="0" applyFont="1" applyAlignment="1" applyProtection="1">
      <alignment horizontal="center" vertical="center"/>
    </xf>
    <xf numFmtId="9" fontId="18" fillId="0" borderId="2" xfId="0" applyNumberFormat="1" applyFont="1" applyBorder="1" applyAlignment="1" applyProtection="1">
      <alignment horizontal="center"/>
    </xf>
    <xf numFmtId="0" fontId="15" fillId="0" borderId="0" xfId="0" applyFont="1" applyAlignment="1" applyProtection="1">
      <alignment vertical="center"/>
    </xf>
    <xf numFmtId="0" fontId="0" fillId="0"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2" xfId="0" applyBorder="1" applyAlignment="1">
      <alignment horizontal="center" vertical="center"/>
    </xf>
    <xf numFmtId="165" fontId="6" fillId="0" borderId="0" xfId="1" applyNumberFormat="1" applyFont="1" applyBorder="1" applyAlignment="1" applyProtection="1"/>
    <xf numFmtId="0" fontId="0" fillId="0" borderId="2" xfId="0" applyFont="1" applyFill="1" applyBorder="1" applyAlignment="1" applyProtection="1">
      <alignment horizontal="center" vertical="center"/>
    </xf>
    <xf numFmtId="0" fontId="8" fillId="9" borderId="48" xfId="0" applyFont="1" applyFill="1" applyBorder="1" applyAlignment="1" applyProtection="1">
      <alignment horizontal="center" vertical="center" wrapText="1"/>
      <protection hidden="1"/>
    </xf>
    <xf numFmtId="0" fontId="7" fillId="9" borderId="48" xfId="0" applyFont="1" applyFill="1" applyBorder="1" applyAlignment="1" applyProtection="1">
      <alignment horizontal="center" vertical="center"/>
      <protection hidden="1"/>
    </xf>
    <xf numFmtId="0" fontId="8" fillId="6" borderId="2" xfId="0" applyFont="1" applyFill="1" applyBorder="1" applyAlignment="1" applyProtection="1">
      <alignment horizontal="center" vertical="center" wrapText="1"/>
      <protection hidden="1"/>
    </xf>
    <xf numFmtId="43" fontId="8" fillId="6" borderId="2" xfId="1" applyFont="1" applyFill="1" applyBorder="1" applyAlignment="1" applyProtection="1">
      <alignment horizontal="center" vertical="center" wrapText="1"/>
      <protection hidden="1"/>
    </xf>
    <xf numFmtId="4" fontId="8" fillId="6" borderId="2" xfId="1" applyNumberFormat="1" applyFont="1" applyFill="1" applyBorder="1" applyAlignment="1" applyProtection="1">
      <alignment horizontal="center" vertical="center" wrapText="1"/>
      <protection hidden="1"/>
    </xf>
    <xf numFmtId="4" fontId="8" fillId="6" borderId="2" xfId="0" applyNumberFormat="1" applyFont="1" applyFill="1" applyBorder="1" applyAlignment="1" applyProtection="1">
      <alignment horizontal="center" vertical="center" wrapText="1"/>
      <protection hidden="1"/>
    </xf>
    <xf numFmtId="3" fontId="8" fillId="6" borderId="2" xfId="0" applyNumberFormat="1" applyFont="1" applyFill="1" applyBorder="1" applyAlignment="1" applyProtection="1">
      <alignment horizontal="center" vertical="center" wrapText="1"/>
      <protection hidden="1"/>
    </xf>
    <xf numFmtId="0" fontId="24" fillId="2" borderId="0" xfId="0" applyFont="1" applyFill="1" applyAlignment="1" applyProtection="1">
      <alignment horizontal="left"/>
      <protection hidden="1"/>
    </xf>
    <xf numFmtId="0" fontId="25" fillId="2" borderId="0" xfId="0" applyFont="1" applyFill="1" applyProtection="1">
      <protection hidden="1"/>
    </xf>
    <xf numFmtId="0" fontId="25" fillId="2" borderId="0" xfId="0" applyFont="1" applyFill="1" applyAlignment="1" applyProtection="1">
      <alignment horizontal="left"/>
      <protection hidden="1"/>
    </xf>
    <xf numFmtId="0" fontId="18" fillId="2" borderId="0" xfId="0" applyFont="1" applyFill="1" applyAlignment="1" applyProtection="1">
      <alignment horizontal="left"/>
      <protection hidden="1"/>
    </xf>
    <xf numFmtId="0" fontId="26" fillId="2" borderId="0" xfId="0" applyFont="1" applyFill="1" applyAlignment="1" applyProtection="1">
      <alignment horizontal="left"/>
      <protection hidden="1"/>
    </xf>
    <xf numFmtId="0" fontId="7" fillId="0" borderId="0" xfId="0" applyFont="1" applyAlignment="1">
      <alignment horizontal="center" vertical="center"/>
    </xf>
    <xf numFmtId="0" fontId="0" fillId="0" borderId="0" xfId="0" applyFill="1" applyAlignment="1">
      <alignment horizontal="center" vertical="center"/>
    </xf>
    <xf numFmtId="0" fontId="0" fillId="0" borderId="2" xfId="0" applyBorder="1" applyAlignment="1" applyProtection="1">
      <alignment horizontal="center" vertical="center"/>
      <protection hidden="1"/>
    </xf>
    <xf numFmtId="166" fontId="0" fillId="0" borderId="0" xfId="0" applyNumberFormat="1" applyFont="1" applyBorder="1" applyAlignment="1" applyProtection="1">
      <alignment vertical="center"/>
      <protection hidden="1"/>
    </xf>
    <xf numFmtId="0" fontId="0" fillId="0" borderId="0" xfId="0" applyFont="1" applyBorder="1" applyAlignment="1" applyProtection="1">
      <alignment horizontal="left" indent="3"/>
      <protection hidden="1"/>
    </xf>
    <xf numFmtId="165" fontId="13" fillId="0" borderId="0" xfId="0" applyNumberFormat="1" applyFont="1" applyBorder="1" applyAlignment="1" applyProtection="1">
      <alignment vertical="center"/>
      <protection hidden="1"/>
    </xf>
    <xf numFmtId="0" fontId="0" fillId="0" borderId="2" xfId="0" applyBorder="1" applyAlignment="1" applyProtection="1">
      <alignment horizontal="center" vertical="center"/>
      <protection hidden="1"/>
    </xf>
    <xf numFmtId="165" fontId="11" fillId="0" borderId="0" xfId="1" applyNumberFormat="1" applyFont="1" applyProtection="1">
      <protection hidden="1"/>
    </xf>
    <xf numFmtId="0" fontId="11" fillId="0" borderId="0" xfId="0" applyFont="1" applyAlignment="1">
      <alignment horizontal="center" vertical="center"/>
    </xf>
    <xf numFmtId="166" fontId="6" fillId="0" borderId="0" xfId="4" applyNumberFormat="1" applyFont="1" applyBorder="1" applyAlignment="1" applyProtection="1">
      <alignment horizontal="right"/>
      <protection hidden="1"/>
    </xf>
    <xf numFmtId="0" fontId="27" fillId="6" borderId="8"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7" fillId="6" borderId="21"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2" xfId="0" applyBorder="1" applyProtection="1"/>
    <xf numFmtId="0" fontId="18" fillId="2" borderId="2" xfId="0" applyFont="1" applyFill="1" applyBorder="1" applyAlignment="1" applyProtection="1">
      <alignment horizontal="left" vertical="center"/>
    </xf>
    <xf numFmtId="0" fontId="28" fillId="0" borderId="0" xfId="0" applyFont="1" applyProtection="1">
      <protection hidden="1"/>
    </xf>
    <xf numFmtId="3" fontId="28" fillId="0" borderId="0" xfId="0" applyNumberFormat="1" applyFont="1" applyProtection="1">
      <protection hidden="1"/>
    </xf>
    <xf numFmtId="0" fontId="10" fillId="0" borderId="2" xfId="0" applyFont="1" applyBorder="1" applyAlignment="1" applyProtection="1">
      <alignment vertical="center"/>
      <protection hidden="1"/>
    </xf>
    <xf numFmtId="166" fontId="13" fillId="0" borderId="0" xfId="0" applyNumberFormat="1" applyFont="1" applyAlignment="1" applyProtection="1">
      <alignment vertical="center"/>
      <protection hidden="1"/>
    </xf>
    <xf numFmtId="43" fontId="6" fillId="0" borderId="2" xfId="1" applyNumberFormat="1" applyFont="1" applyBorder="1" applyAlignment="1" applyProtection="1">
      <alignment horizontal="center" vertical="center"/>
      <protection hidden="1"/>
    </xf>
    <xf numFmtId="43" fontId="6" fillId="0" borderId="2" xfId="1" applyNumberFormat="1" applyFont="1" applyBorder="1" applyProtection="1">
      <protection hidden="1"/>
    </xf>
    <xf numFmtId="43" fontId="0" fillId="0" borderId="2" xfId="0" applyNumberFormat="1" applyBorder="1" applyProtection="1">
      <protection hidden="1"/>
    </xf>
    <xf numFmtId="43" fontId="0" fillId="0" borderId="0" xfId="0" applyNumberFormat="1" applyProtection="1">
      <protection hidden="1"/>
    </xf>
    <xf numFmtId="43" fontId="6" fillId="0" borderId="0" xfId="1" applyNumberFormat="1" applyFont="1" applyBorder="1" applyProtection="1">
      <protection hidden="1"/>
    </xf>
    <xf numFmtId="43" fontId="6" fillId="0" borderId="2" xfId="1" applyNumberFormat="1" applyFont="1" applyBorder="1"/>
    <xf numFmtId="43" fontId="0" fillId="0" borderId="2" xfId="0" applyNumberFormat="1" applyBorder="1" applyAlignment="1" applyProtection="1">
      <alignment horizontal="center" vertical="center"/>
    </xf>
    <xf numFmtId="43" fontId="10" fillId="0" borderId="0" xfId="1" applyNumberFormat="1" applyFont="1" applyProtection="1"/>
    <xf numFmtId="43" fontId="10" fillId="0" borderId="0" xfId="1" applyNumberFormat="1" applyFont="1"/>
    <xf numFmtId="43" fontId="6" fillId="0" borderId="0" xfId="1" applyNumberFormat="1" applyFont="1"/>
    <xf numFmtId="43" fontId="10" fillId="3" borderId="0" xfId="1" applyNumberFormat="1" applyFont="1" applyFill="1"/>
    <xf numFmtId="43" fontId="0" fillId="0" borderId="2" xfId="0" applyNumberFormat="1" applyBorder="1" applyAlignment="1">
      <alignment horizontal="center" vertical="center"/>
    </xf>
    <xf numFmtId="167" fontId="0" fillId="0" borderId="0" xfId="0" applyNumberFormat="1" applyAlignment="1">
      <alignment horizontal="center" vertical="center"/>
    </xf>
    <xf numFmtId="9" fontId="0" fillId="0" borderId="0" xfId="0" applyNumberFormat="1" applyAlignment="1" applyProtection="1">
      <alignment vertical="center"/>
      <protection hidden="1"/>
    </xf>
    <xf numFmtId="165" fontId="0" fillId="0" borderId="0" xfId="0" applyNumberFormat="1" applyProtection="1">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2" xfId="0" applyFill="1" applyBorder="1" applyProtection="1"/>
    <xf numFmtId="43" fontId="0" fillId="0" borderId="0" xfId="0" applyNumberFormat="1" applyFont="1" applyBorder="1" applyProtection="1">
      <protection hidden="1"/>
    </xf>
    <xf numFmtId="9" fontId="13" fillId="0" borderId="0" xfId="0" applyNumberFormat="1" applyFont="1" applyFill="1" applyBorder="1" applyProtection="1">
      <protection hidden="1"/>
    </xf>
    <xf numFmtId="0" fontId="0" fillId="10" borderId="0" xfId="0" applyFill="1" applyAlignment="1">
      <alignment horizontal="center" vertical="center"/>
    </xf>
    <xf numFmtId="0" fontId="18" fillId="2" borderId="0" xfId="0" applyFont="1" applyFill="1" applyBorder="1" applyAlignment="1" applyProtection="1">
      <alignment horizontal="center" vertical="center"/>
      <protection hidden="1"/>
    </xf>
    <xf numFmtId="0" fontId="0" fillId="0" borderId="0" xfId="0" applyBorder="1" applyAlignment="1">
      <alignment horizontal="center" vertical="center"/>
    </xf>
    <xf numFmtId="43" fontId="6" fillId="0" borderId="0" xfId="1" applyFont="1" applyFill="1" applyBorder="1"/>
    <xf numFmtId="0" fontId="7" fillId="0" borderId="48" xfId="0" applyFont="1" applyFill="1" applyBorder="1" applyAlignment="1" applyProtection="1">
      <alignment horizontal="center" vertical="center"/>
      <protection hidden="1"/>
    </xf>
    <xf numFmtId="0" fontId="7" fillId="0" borderId="47" xfId="0" applyFont="1" applyFill="1" applyBorder="1" applyAlignment="1">
      <alignment horizontal="center" vertical="center"/>
    </xf>
    <xf numFmtId="165" fontId="7" fillId="0" borderId="47" xfId="0" applyNumberFormat="1" applyFont="1" applyFill="1" applyBorder="1" applyAlignment="1" applyProtection="1">
      <alignment horizontal="center" vertical="center"/>
      <protection hidden="1"/>
    </xf>
    <xf numFmtId="0" fontId="0" fillId="0" borderId="12" xfId="0" applyBorder="1"/>
    <xf numFmtId="0" fontId="0" fillId="0" borderId="9" xfId="0" applyBorder="1"/>
    <xf numFmtId="0" fontId="0" fillId="0" borderId="10" xfId="0" applyBorder="1" applyAlignment="1">
      <alignment horizontal="center" vertical="center"/>
    </xf>
    <xf numFmtId="0" fontId="0" fillId="0" borderId="22" xfId="0" applyBorder="1"/>
    <xf numFmtId="0" fontId="0" fillId="0" borderId="23" xfId="0" applyBorder="1" applyAlignment="1">
      <alignment horizontal="center" vertical="center"/>
    </xf>
    <xf numFmtId="0" fontId="0" fillId="0" borderId="24" xfId="0" applyBorder="1" applyAlignment="1">
      <alignment horizontal="center" vertical="center"/>
    </xf>
    <xf numFmtId="0" fontId="20" fillId="0" borderId="0" xfId="0" applyFont="1" applyFill="1" applyAlignment="1">
      <alignment horizontal="center" vertical="center"/>
    </xf>
    <xf numFmtId="0" fontId="0" fillId="11" borderId="0" xfId="0" applyFont="1" applyFill="1" applyAlignment="1">
      <alignment horizontal="center" vertical="center"/>
    </xf>
    <xf numFmtId="0" fontId="21" fillId="0" borderId="0" xfId="0" applyFont="1" applyFill="1" applyProtection="1"/>
    <xf numFmtId="165" fontId="0" fillId="0" borderId="0" xfId="0" applyNumberFormat="1" applyAlignment="1">
      <alignment horizontal="center" vertical="center"/>
    </xf>
    <xf numFmtId="166" fontId="6" fillId="0" borderId="0" xfId="4" applyNumberFormat="1" applyFont="1" applyBorder="1" applyProtection="1">
      <protection hidden="1"/>
    </xf>
    <xf numFmtId="4" fontId="0" fillId="0" borderId="0" xfId="0" applyNumberFormat="1" applyAlignment="1">
      <alignment horizontal="center" vertical="center"/>
    </xf>
    <xf numFmtId="0" fontId="0" fillId="11" borderId="10" xfId="0" applyFill="1" applyBorder="1" applyAlignment="1">
      <alignment horizontal="center" vertical="center"/>
    </xf>
    <xf numFmtId="0" fontId="0" fillId="11" borderId="0" xfId="0" applyFill="1" applyBorder="1" applyAlignment="1">
      <alignment horizontal="center" vertical="center"/>
    </xf>
    <xf numFmtId="4" fontId="0" fillId="0" borderId="0" xfId="0" applyNumberFormat="1" applyBorder="1" applyAlignment="1">
      <alignment horizontal="center" vertical="center"/>
    </xf>
    <xf numFmtId="43" fontId="0" fillId="0" borderId="23" xfId="0" applyNumberFormat="1" applyBorder="1" applyAlignment="1">
      <alignment horizontal="center" vertical="center"/>
    </xf>
    <xf numFmtId="43" fontId="29" fillId="0" borderId="0" xfId="1" applyNumberFormat="1" applyFont="1" applyBorder="1" applyAlignment="1" applyProtection="1">
      <alignment horizontal="center" vertical="center"/>
      <protection hidden="1"/>
    </xf>
    <xf numFmtId="43" fontId="6" fillId="0" borderId="2" xfId="1" applyFont="1" applyBorder="1" applyAlignment="1" applyProtection="1">
      <alignment horizontal="center" vertical="center"/>
      <protection hidden="1"/>
    </xf>
    <xf numFmtId="0" fontId="28" fillId="0" borderId="0" xfId="0" applyFont="1" applyAlignment="1" applyProtection="1">
      <alignment horizontal="left"/>
      <protection hidden="1"/>
    </xf>
    <xf numFmtId="0" fontId="28" fillId="0" borderId="0" xfId="0" applyFont="1" applyAlignment="1" applyProtection="1">
      <alignment horizontal="right"/>
      <protection hidden="1"/>
    </xf>
    <xf numFmtId="3" fontId="10" fillId="0" borderId="0" xfId="0" applyNumberFormat="1" applyFont="1" applyProtection="1">
      <protection hidden="1"/>
    </xf>
    <xf numFmtId="3" fontId="16" fillId="0" borderId="0" xfId="0" applyNumberFormat="1" applyFont="1" applyFill="1" applyProtection="1">
      <protection hidden="1"/>
    </xf>
    <xf numFmtId="3" fontId="10" fillId="0" borderId="0" xfId="0" applyNumberFormat="1" applyFont="1" applyAlignment="1" applyProtection="1">
      <alignment horizontal="left"/>
      <protection hidden="1"/>
    </xf>
    <xf numFmtId="3" fontId="10" fillId="0" borderId="0" xfId="0" applyNumberFormat="1" applyFont="1" applyFill="1" applyAlignment="1" applyProtection="1">
      <alignment horizontal="left"/>
      <protection hidden="1"/>
    </xf>
    <xf numFmtId="43" fontId="29" fillId="0" borderId="0" xfId="1" applyFont="1" applyBorder="1" applyAlignment="1" applyProtection="1">
      <alignment horizontal="center" vertical="center"/>
      <protection hidden="1"/>
    </xf>
    <xf numFmtId="43" fontId="29" fillId="0" borderId="0" xfId="1" applyFont="1" applyBorder="1" applyAlignment="1" applyProtection="1">
      <alignment horizontal="right"/>
      <protection hidden="1"/>
    </xf>
    <xf numFmtId="164" fontId="13" fillId="0" borderId="0" xfId="0" applyNumberFormat="1" applyFont="1" applyProtection="1">
      <protection hidden="1"/>
    </xf>
    <xf numFmtId="164" fontId="0" fillId="0" borderId="0" xfId="0" applyNumberFormat="1" applyProtection="1">
      <protection hidden="1"/>
    </xf>
    <xf numFmtId="43" fontId="0" fillId="0" borderId="0" xfId="0" applyNumberFormat="1" applyAlignment="1" applyProtection="1">
      <alignment vertical="center"/>
      <protection hidden="1"/>
    </xf>
    <xf numFmtId="2" fontId="0" fillId="0" borderId="13" xfId="0" applyNumberFormat="1" applyBorder="1" applyAlignment="1">
      <alignment horizontal="center" vertical="center"/>
    </xf>
    <xf numFmtId="4" fontId="0" fillId="0" borderId="13" xfId="0" applyNumberFormat="1" applyBorder="1" applyAlignment="1">
      <alignment horizontal="center" vertical="center"/>
    </xf>
    <xf numFmtId="0" fontId="0" fillId="0" borderId="0" xfId="0" applyAlignment="1" applyProtection="1">
      <alignment horizontal="center"/>
      <protection hidden="1"/>
    </xf>
    <xf numFmtId="0" fontId="10" fillId="0" borderId="0" xfId="0" applyFont="1" applyBorder="1" applyAlignment="1" applyProtection="1">
      <alignment vertical="center"/>
      <protection hidden="1"/>
    </xf>
    <xf numFmtId="165" fontId="10" fillId="0" borderId="0" xfId="1" applyNumberFormat="1" applyFont="1" applyFill="1" applyAlignment="1" applyProtection="1">
      <alignment horizontal="right" vertical="center"/>
      <protection hidden="1"/>
    </xf>
    <xf numFmtId="165" fontId="10" fillId="0" borderId="0" xfId="1" applyNumberFormat="1" applyFont="1" applyFill="1" applyBorder="1" applyAlignment="1" applyProtection="1">
      <alignment vertical="center"/>
      <protection hidden="1"/>
    </xf>
    <xf numFmtId="0" fontId="30" fillId="0" borderId="0" xfId="0" applyFont="1" applyFill="1" applyAlignment="1" applyProtection="1">
      <alignment horizontal="center" vertical="center"/>
      <protection hidden="1"/>
    </xf>
    <xf numFmtId="0" fontId="10" fillId="0" borderId="12" xfId="0" applyFont="1" applyBorder="1" applyProtection="1">
      <protection hidden="1"/>
    </xf>
    <xf numFmtId="0" fontId="0" fillId="0" borderId="0" xfId="0" applyFont="1" applyAlignment="1">
      <alignment horizontal="center" vertical="center"/>
    </xf>
    <xf numFmtId="165" fontId="10" fillId="3" borderId="2" xfId="1" applyNumberFormat="1" applyFont="1" applyFill="1" applyBorder="1" applyAlignment="1" applyProtection="1">
      <alignment horizontal="center" vertical="center"/>
      <protection hidden="1"/>
    </xf>
    <xf numFmtId="165" fontId="10" fillId="3" borderId="6" xfId="1" applyNumberFormat="1" applyFont="1" applyFill="1" applyBorder="1" applyAlignment="1" applyProtection="1">
      <alignment horizontal="center" vertical="center"/>
      <protection hidden="1"/>
    </xf>
    <xf numFmtId="43" fontId="10" fillId="0" borderId="0" xfId="1" applyNumberFormat="1" applyFont="1" applyFill="1" applyBorder="1" applyAlignment="1" applyProtection="1">
      <alignment horizontal="center" vertical="center"/>
      <protection hidden="1"/>
    </xf>
    <xf numFmtId="0" fontId="31" fillId="0" borderId="0" xfId="0" applyFont="1" applyProtection="1"/>
    <xf numFmtId="0" fontId="10" fillId="0" borderId="2" xfId="0" applyFont="1" applyFill="1" applyBorder="1" applyAlignment="1" applyProtection="1">
      <alignment horizontal="center" vertical="center" wrapText="1"/>
      <protection hidden="1"/>
    </xf>
    <xf numFmtId="165" fontId="10" fillId="0" borderId="2" xfId="1" applyNumberFormat="1" applyFont="1" applyFill="1" applyBorder="1" applyAlignment="1" applyProtection="1">
      <alignment horizontal="center" vertical="center"/>
      <protection hidden="1"/>
    </xf>
    <xf numFmtId="165" fontId="10" fillId="0" borderId="6" xfId="1" applyNumberFormat="1"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166" fontId="0" fillId="0" borderId="0" xfId="0" applyNumberFormat="1" applyFont="1" applyBorder="1" applyProtection="1">
      <protection hidden="1"/>
    </xf>
    <xf numFmtId="0" fontId="10" fillId="3" borderId="1" xfId="0" applyFont="1" applyFill="1" applyBorder="1" applyAlignment="1" applyProtection="1">
      <alignment horizontal="center" vertical="center" wrapText="1"/>
      <protection hidden="1"/>
    </xf>
    <xf numFmtId="165" fontId="10" fillId="3" borderId="1" xfId="1" applyNumberFormat="1" applyFont="1" applyFill="1" applyBorder="1" applyAlignment="1" applyProtection="1">
      <alignment horizontal="center" vertical="center"/>
      <protection hidden="1"/>
    </xf>
    <xf numFmtId="165" fontId="10" fillId="3" borderId="7" xfId="1" applyNumberFormat="1" applyFont="1" applyFill="1" applyBorder="1" applyAlignment="1" applyProtection="1">
      <alignment horizontal="center" vertical="center"/>
      <protection hidden="1"/>
    </xf>
    <xf numFmtId="0" fontId="0" fillId="11" borderId="0" xfId="0" applyFill="1" applyAlignment="1">
      <alignment horizontal="center" vertical="center"/>
    </xf>
    <xf numFmtId="0" fontId="18" fillId="11" borderId="0" xfId="0" applyFont="1" applyFill="1" applyAlignment="1">
      <alignment horizontal="center" vertical="center"/>
    </xf>
    <xf numFmtId="0" fontId="0" fillId="2" borderId="2" xfId="0" applyFill="1" applyBorder="1" applyAlignment="1">
      <alignment horizontal="center" vertical="center"/>
    </xf>
    <xf numFmtId="0" fontId="18" fillId="12" borderId="2" xfId="0" applyFont="1" applyFill="1" applyBorder="1" applyAlignment="1" applyProtection="1">
      <alignment horizontal="center" vertical="center"/>
      <protection hidden="1"/>
    </xf>
    <xf numFmtId="0" fontId="18" fillId="12" borderId="2" xfId="0" quotePrefix="1" applyFont="1" applyFill="1" applyBorder="1" applyAlignment="1" applyProtection="1">
      <alignment horizontal="center" vertical="center"/>
      <protection hidden="1"/>
    </xf>
    <xf numFmtId="4" fontId="18" fillId="12" borderId="2" xfId="1" applyNumberFormat="1" applyFont="1" applyFill="1" applyBorder="1" applyAlignment="1" applyProtection="1">
      <alignment horizontal="center" vertical="center"/>
      <protection hidden="1"/>
    </xf>
    <xf numFmtId="165" fontId="18" fillId="12" borderId="2" xfId="1" applyNumberFormat="1" applyFont="1" applyFill="1" applyBorder="1" applyAlignment="1" applyProtection="1">
      <alignment horizontal="center" vertical="center"/>
      <protection hidden="1"/>
    </xf>
    <xf numFmtId="0" fontId="0" fillId="12" borderId="2" xfId="0" applyFill="1" applyBorder="1" applyAlignment="1">
      <alignment horizontal="center" vertical="center"/>
    </xf>
    <xf numFmtId="0" fontId="0" fillId="0" borderId="2" xfId="0" applyBorder="1" applyAlignment="1" applyProtection="1">
      <alignment horizontal="center" vertical="center"/>
      <protection hidden="1"/>
    </xf>
    <xf numFmtId="0" fontId="32" fillId="2" borderId="0" xfId="0" applyFont="1" applyFill="1" applyAlignment="1" applyProtection="1">
      <alignment horizontal="left" vertical="center" wrapText="1"/>
      <protection hidden="1"/>
    </xf>
    <xf numFmtId="43" fontId="6" fillId="0" borderId="0" xfId="1" applyNumberFormat="1" applyFont="1" applyBorder="1" applyAlignment="1" applyProtection="1">
      <alignment horizontal="center" vertical="center"/>
      <protection hidden="1"/>
    </xf>
    <xf numFmtId="0" fontId="18" fillId="2" borderId="0" xfId="0" applyFont="1" applyFill="1" applyBorder="1" applyAlignment="1" applyProtection="1">
      <alignment horizontal="center" vertical="center"/>
    </xf>
    <xf numFmtId="0" fontId="26" fillId="0" borderId="0" xfId="0" applyFont="1" applyFill="1" applyAlignment="1" applyProtection="1">
      <alignment horizontal="center" vertical="center"/>
      <protection hidden="1"/>
    </xf>
    <xf numFmtId="37" fontId="18" fillId="12" borderId="2" xfId="1" applyNumberFormat="1" applyFont="1" applyFill="1" applyBorder="1" applyAlignment="1" applyProtection="1">
      <alignment horizontal="center" vertical="center"/>
      <protection hidden="1"/>
    </xf>
    <xf numFmtId="37" fontId="18" fillId="2" borderId="2" xfId="1" applyNumberFormat="1" applyFont="1" applyFill="1" applyBorder="1" applyAlignment="1" applyProtection="1">
      <alignment horizontal="center" vertical="center"/>
      <protection hidden="1"/>
    </xf>
    <xf numFmtId="0" fontId="13" fillId="0" borderId="25" xfId="0" applyFont="1" applyBorder="1" applyAlignment="1" applyProtection="1">
      <alignment vertical="center"/>
      <protection hidden="1"/>
    </xf>
    <xf numFmtId="165" fontId="13" fillId="0" borderId="26" xfId="1" applyNumberFormat="1" applyFont="1" applyBorder="1" applyAlignment="1" applyProtection="1">
      <alignment vertical="center"/>
      <protection hidden="1"/>
    </xf>
    <xf numFmtId="0" fontId="13" fillId="0" borderId="27" xfId="0" applyFont="1" applyBorder="1" applyAlignment="1" applyProtection="1">
      <alignment vertical="center"/>
      <protection hidden="1"/>
    </xf>
    <xf numFmtId="165" fontId="13" fillId="0" borderId="28" xfId="1" applyNumberFormat="1" applyFont="1" applyBorder="1" applyAlignment="1" applyProtection="1">
      <alignment vertical="center"/>
      <protection hidden="1"/>
    </xf>
    <xf numFmtId="0" fontId="13" fillId="0" borderId="29" xfId="0" applyFont="1" applyBorder="1" applyAlignment="1" applyProtection="1">
      <alignment vertical="center"/>
      <protection hidden="1"/>
    </xf>
    <xf numFmtId="165" fontId="13" fillId="0" borderId="30" xfId="1" applyNumberFormat="1" applyFont="1" applyBorder="1" applyAlignment="1" applyProtection="1">
      <alignment vertical="center"/>
      <protection hidden="1"/>
    </xf>
    <xf numFmtId="165" fontId="10" fillId="0" borderId="0" xfId="1" applyNumberFormat="1" applyFont="1" applyAlignment="1" applyProtection="1">
      <alignment horizontal="right" vertical="center"/>
      <protection hidden="1"/>
    </xf>
    <xf numFmtId="37" fontId="0" fillId="0" borderId="0" xfId="0" applyNumberFormat="1" applyAlignment="1">
      <alignment horizontal="center" vertical="center"/>
    </xf>
    <xf numFmtId="0" fontId="13" fillId="0" borderId="27" xfId="0" applyFont="1" applyBorder="1" applyProtection="1">
      <protection hidden="1"/>
    </xf>
    <xf numFmtId="165" fontId="13" fillId="0" borderId="28" xfId="1" applyNumberFormat="1" applyFont="1" applyBorder="1" applyProtection="1">
      <protection hidden="1"/>
    </xf>
    <xf numFmtId="0" fontId="13" fillId="0" borderId="29" xfId="0" applyFont="1" applyBorder="1" applyProtection="1">
      <protection hidden="1"/>
    </xf>
    <xf numFmtId="165" fontId="13" fillId="0" borderId="30" xfId="1" applyNumberFormat="1" applyFont="1" applyBorder="1" applyProtection="1">
      <protection hidden="1"/>
    </xf>
    <xf numFmtId="166" fontId="6" fillId="0" borderId="0" xfId="4" applyNumberFormat="1" applyFont="1" applyBorder="1" applyProtection="1">
      <protection hidden="1"/>
    </xf>
    <xf numFmtId="0" fontId="33" fillId="0" borderId="25" xfId="0" applyFont="1" applyBorder="1" applyProtection="1">
      <protection hidden="1"/>
    </xf>
    <xf numFmtId="165" fontId="33" fillId="0" borderId="26" xfId="1" applyNumberFormat="1" applyFont="1" applyBorder="1" applyProtection="1">
      <protection hidden="1"/>
    </xf>
    <xf numFmtId="0" fontId="28" fillId="0" borderId="27" xfId="0" applyFont="1" applyBorder="1" applyProtection="1">
      <protection hidden="1"/>
    </xf>
    <xf numFmtId="0" fontId="28" fillId="0" borderId="0" xfId="0" applyFont="1" applyBorder="1" applyProtection="1">
      <protection hidden="1"/>
    </xf>
    <xf numFmtId="0" fontId="0" fillId="0" borderId="29" xfId="0" applyBorder="1" applyProtection="1">
      <protection hidden="1"/>
    </xf>
    <xf numFmtId="0" fontId="28" fillId="0" borderId="7" xfId="0" applyFont="1" applyBorder="1" applyProtection="1">
      <protection hidden="1"/>
    </xf>
    <xf numFmtId="0" fontId="28" fillId="0" borderId="18" xfId="0" applyFont="1" applyBorder="1" applyProtection="1">
      <protection hidden="1"/>
    </xf>
    <xf numFmtId="0" fontId="28" fillId="0" borderId="25" xfId="0" applyFont="1" applyBorder="1" applyProtection="1">
      <protection hidden="1"/>
    </xf>
    <xf numFmtId="165" fontId="28" fillId="0" borderId="26" xfId="1" applyNumberFormat="1" applyFont="1" applyBorder="1" applyProtection="1">
      <protection hidden="1"/>
    </xf>
    <xf numFmtId="0" fontId="28" fillId="0" borderId="29" xfId="0" applyFont="1" applyBorder="1" applyProtection="1">
      <protection hidden="1"/>
    </xf>
    <xf numFmtId="165" fontId="28" fillId="0" borderId="30" xfId="1" applyNumberFormat="1" applyFont="1" applyBorder="1" applyProtection="1">
      <protection hidden="1"/>
    </xf>
    <xf numFmtId="43" fontId="13" fillId="0" borderId="0" xfId="1" applyNumberFormat="1" applyFont="1" applyBorder="1" applyAlignment="1" applyProtection="1">
      <alignment horizontal="center" vertical="center"/>
      <protection hidden="1"/>
    </xf>
    <xf numFmtId="43" fontId="13" fillId="0" borderId="0" xfId="0" applyNumberFormat="1" applyFont="1" applyBorder="1" applyAlignment="1" applyProtection="1">
      <alignment horizontal="center" vertical="center"/>
      <protection hidden="1"/>
    </xf>
    <xf numFmtId="43" fontId="0" fillId="0" borderId="0" xfId="0" applyNumberFormat="1" applyBorder="1" applyAlignment="1" applyProtection="1">
      <alignment horizontal="center" vertical="center"/>
      <protection hidden="1"/>
    </xf>
    <xf numFmtId="43" fontId="0" fillId="0" borderId="0" xfId="0" applyNumberFormat="1" applyBorder="1" applyProtection="1">
      <protection hidden="1"/>
    </xf>
    <xf numFmtId="0" fontId="0" fillId="2" borderId="2" xfId="0" applyFont="1" applyFill="1" applyBorder="1" applyAlignment="1" applyProtection="1">
      <alignment horizontal="center" vertical="center"/>
      <protection hidden="1"/>
    </xf>
    <xf numFmtId="165" fontId="6" fillId="2" borderId="0" xfId="1" applyNumberFormat="1" applyFont="1" applyFill="1" applyProtection="1">
      <protection hidden="1"/>
    </xf>
    <xf numFmtId="0" fontId="0" fillId="2" borderId="0" xfId="0" applyFill="1" applyProtection="1">
      <protection hidden="1"/>
    </xf>
    <xf numFmtId="0" fontId="13" fillId="2" borderId="0" xfId="0" applyFont="1" applyFill="1" applyProtection="1">
      <protection hidden="1"/>
    </xf>
    <xf numFmtId="0" fontId="33" fillId="2" borderId="25" xfId="0" applyFont="1" applyFill="1" applyBorder="1" applyProtection="1">
      <protection hidden="1"/>
    </xf>
    <xf numFmtId="165" fontId="33" fillId="2" borderId="26" xfId="1" applyNumberFormat="1" applyFont="1" applyFill="1" applyBorder="1" applyProtection="1">
      <protection hidden="1"/>
    </xf>
    <xf numFmtId="10" fontId="13" fillId="2" borderId="0" xfId="0" applyNumberFormat="1" applyFont="1" applyFill="1" applyProtection="1">
      <protection hidden="1"/>
    </xf>
    <xf numFmtId="0" fontId="0" fillId="2" borderId="0" xfId="0" applyFont="1" applyFill="1" applyBorder="1" applyAlignment="1" applyProtection="1">
      <alignment horizontal="left" indent="3"/>
      <protection hidden="1"/>
    </xf>
    <xf numFmtId="0" fontId="0" fillId="2" borderId="2" xfId="0" applyFill="1" applyBorder="1" applyAlignment="1" applyProtection="1">
      <alignment horizontal="center" vertical="center"/>
      <protection hidden="1"/>
    </xf>
    <xf numFmtId="0" fontId="13" fillId="2" borderId="27" xfId="0" applyFont="1" applyFill="1" applyBorder="1" applyProtection="1">
      <protection hidden="1"/>
    </xf>
    <xf numFmtId="165" fontId="13" fillId="2" borderId="28" xfId="1" applyNumberFormat="1" applyFont="1" applyFill="1" applyBorder="1" applyProtection="1">
      <protection hidden="1"/>
    </xf>
    <xf numFmtId="166" fontId="0" fillId="2" borderId="0" xfId="0" applyNumberFormat="1" applyFont="1" applyFill="1" applyBorder="1" applyAlignment="1" applyProtection="1">
      <alignment vertical="center"/>
      <protection hidden="1"/>
    </xf>
    <xf numFmtId="0" fontId="28" fillId="2" borderId="27" xfId="0" applyFont="1" applyFill="1" applyBorder="1" applyProtection="1">
      <protection hidden="1"/>
    </xf>
    <xf numFmtId="0" fontId="28" fillId="2" borderId="0" xfId="0" applyFont="1" applyFill="1" applyBorder="1" applyProtection="1">
      <protection hidden="1"/>
    </xf>
    <xf numFmtId="165" fontId="10" fillId="2" borderId="0" xfId="1" applyNumberFormat="1" applyFont="1" applyFill="1" applyBorder="1" applyAlignment="1" applyProtection="1">
      <alignment horizontal="center" vertical="center"/>
      <protection hidden="1"/>
    </xf>
    <xf numFmtId="0" fontId="0" fillId="2" borderId="29" xfId="0" applyFill="1" applyBorder="1" applyProtection="1">
      <protection hidden="1"/>
    </xf>
    <xf numFmtId="0" fontId="28" fillId="2" borderId="7" xfId="0" applyFont="1" applyFill="1" applyBorder="1" applyProtection="1">
      <protection hidden="1"/>
    </xf>
    <xf numFmtId="165" fontId="13" fillId="2" borderId="30" xfId="1" applyNumberFormat="1" applyFont="1" applyFill="1" applyBorder="1" applyProtection="1">
      <protection hidden="1"/>
    </xf>
    <xf numFmtId="0" fontId="13" fillId="2" borderId="29" xfId="0" applyFont="1" applyFill="1" applyBorder="1" applyProtection="1">
      <protection hidden="1"/>
    </xf>
    <xf numFmtId="165" fontId="13" fillId="2" borderId="0" xfId="1" applyNumberFormat="1" applyFont="1" applyFill="1" applyProtection="1">
      <protection hidden="1"/>
    </xf>
    <xf numFmtId="0" fontId="0" fillId="2" borderId="0" xfId="0" applyFill="1" applyAlignment="1" applyProtection="1">
      <alignment horizontal="center"/>
      <protection hidden="1"/>
    </xf>
    <xf numFmtId="165" fontId="11" fillId="2" borderId="0" xfId="1" applyNumberFormat="1" applyFont="1" applyFill="1" applyProtection="1">
      <protection hidden="1"/>
    </xf>
    <xf numFmtId="0" fontId="28" fillId="2" borderId="25" xfId="0" applyFont="1" applyFill="1" applyBorder="1" applyProtection="1">
      <protection hidden="1"/>
    </xf>
    <xf numFmtId="0" fontId="28" fillId="2" borderId="18" xfId="0" applyFont="1" applyFill="1" applyBorder="1" applyProtection="1">
      <protection hidden="1"/>
    </xf>
    <xf numFmtId="165" fontId="28" fillId="2" borderId="26" xfId="1" applyNumberFormat="1" applyFont="1" applyFill="1" applyBorder="1" applyProtection="1">
      <protection hidden="1"/>
    </xf>
    <xf numFmtId="0" fontId="12" fillId="2" borderId="0" xfId="0" applyFont="1" applyFill="1" applyProtection="1">
      <protection hidden="1"/>
    </xf>
    <xf numFmtId="0" fontId="10" fillId="2" borderId="2" xfId="0" applyFont="1" applyFill="1" applyBorder="1" applyAlignment="1" applyProtection="1">
      <alignment vertical="center"/>
      <protection hidden="1"/>
    </xf>
    <xf numFmtId="0" fontId="28" fillId="2" borderId="29" xfId="0" applyFont="1" applyFill="1" applyBorder="1" applyProtection="1">
      <protection hidden="1"/>
    </xf>
    <xf numFmtId="165" fontId="28" fillId="2" borderId="30" xfId="1" applyNumberFormat="1" applyFont="1" applyFill="1" applyBorder="1" applyProtection="1">
      <protection hidden="1"/>
    </xf>
    <xf numFmtId="0" fontId="0" fillId="2" borderId="0" xfId="0" applyFill="1" applyBorder="1" applyAlignment="1" applyProtection="1">
      <alignment horizontal="center" vertical="center"/>
      <protection hidden="1"/>
    </xf>
    <xf numFmtId="43" fontId="0" fillId="2" borderId="0" xfId="0" applyNumberFormat="1" applyFill="1" applyBorder="1" applyProtection="1">
      <protection hidden="1"/>
    </xf>
    <xf numFmtId="43" fontId="6" fillId="2" borderId="0" xfId="1" applyNumberFormat="1" applyFont="1" applyFill="1" applyBorder="1" applyAlignment="1" applyProtection="1">
      <alignment horizontal="center" vertical="center"/>
      <protection hidden="1"/>
    </xf>
    <xf numFmtId="43" fontId="6" fillId="2" borderId="0" xfId="1" applyNumberFormat="1" applyFont="1" applyFill="1" applyBorder="1" applyProtection="1">
      <protection hidden="1"/>
    </xf>
    <xf numFmtId="165" fontId="6" fillId="2" borderId="0" xfId="1" applyNumberFormat="1" applyFont="1" applyFill="1" applyBorder="1" applyProtection="1">
      <protection hidden="1"/>
    </xf>
    <xf numFmtId="0" fontId="0" fillId="2" borderId="7" xfId="0" applyFill="1" applyBorder="1" applyProtection="1">
      <protection hidden="1"/>
    </xf>
    <xf numFmtId="0" fontId="0" fillId="2" borderId="7" xfId="0" applyFill="1" applyBorder="1" applyAlignment="1" applyProtection="1">
      <alignment horizontal="center"/>
      <protection hidden="1"/>
    </xf>
    <xf numFmtId="165" fontId="6" fillId="2" borderId="7" xfId="1" applyNumberFormat="1" applyFont="1" applyFill="1" applyBorder="1" applyProtection="1">
      <protection hidden="1"/>
    </xf>
    <xf numFmtId="165" fontId="13" fillId="2" borderId="0" xfId="0" applyNumberFormat="1" applyFont="1" applyFill="1" applyProtection="1">
      <protection hidden="1"/>
    </xf>
    <xf numFmtId="0" fontId="0" fillId="2" borderId="0" xfId="0" applyFont="1" applyFill="1" applyBorder="1" applyProtection="1">
      <protection hidden="1"/>
    </xf>
    <xf numFmtId="43" fontId="13" fillId="2" borderId="0" xfId="0" applyNumberFormat="1" applyFont="1" applyFill="1" applyBorder="1" applyProtection="1">
      <protection hidden="1"/>
    </xf>
    <xf numFmtId="0" fontId="13" fillId="2" borderId="0" xfId="0" applyFont="1" applyFill="1" applyBorder="1" applyProtection="1">
      <protection hidden="1"/>
    </xf>
    <xf numFmtId="165" fontId="13" fillId="2" borderId="0" xfId="1" applyNumberFormat="1" applyFont="1" applyFill="1" applyBorder="1" applyProtection="1">
      <protection hidden="1"/>
    </xf>
    <xf numFmtId="165" fontId="6" fillId="2" borderId="0" xfId="1" applyNumberFormat="1" applyFont="1" applyFill="1" applyBorder="1" applyAlignment="1" applyProtection="1">
      <alignment vertical="center"/>
      <protection hidden="1"/>
    </xf>
    <xf numFmtId="0" fontId="28" fillId="2" borderId="0" xfId="0" applyFont="1" applyFill="1" applyProtection="1">
      <protection hidden="1"/>
    </xf>
    <xf numFmtId="43" fontId="0" fillId="2" borderId="0" xfId="0" applyNumberFormat="1" applyFont="1" applyFill="1" applyBorder="1" applyProtection="1">
      <protection hidden="1"/>
    </xf>
    <xf numFmtId="0" fontId="0" fillId="2" borderId="0" xfId="0" applyFont="1" applyFill="1" applyBorder="1" applyAlignment="1" applyProtection="1">
      <alignment vertical="center"/>
      <protection hidden="1"/>
    </xf>
    <xf numFmtId="165"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165" fontId="13" fillId="2" borderId="0" xfId="1" applyNumberFormat="1" applyFont="1" applyFill="1" applyBorder="1" applyAlignment="1" applyProtection="1">
      <alignment vertical="center"/>
      <protection hidden="1"/>
    </xf>
    <xf numFmtId="3" fontId="28" fillId="2" borderId="0" xfId="0" applyNumberFormat="1" applyFont="1" applyFill="1" applyProtection="1">
      <protection hidden="1"/>
    </xf>
    <xf numFmtId="43" fontId="13" fillId="2" borderId="0" xfId="0" applyNumberFormat="1" applyFont="1" applyFill="1" applyBorder="1" applyAlignment="1" applyProtection="1">
      <alignment vertical="center"/>
      <protection hidden="1"/>
    </xf>
    <xf numFmtId="9" fontId="13" fillId="2" borderId="0" xfId="0" applyNumberFormat="1" applyFont="1" applyFill="1" applyBorder="1" applyProtection="1">
      <protection hidden="1"/>
    </xf>
    <xf numFmtId="165" fontId="0" fillId="2" borderId="0" xfId="0" applyNumberFormat="1" applyFont="1" applyFill="1" applyBorder="1" applyProtection="1">
      <protection hidden="1"/>
    </xf>
    <xf numFmtId="0" fontId="10" fillId="2" borderId="0" xfId="0" applyFont="1" applyFill="1" applyProtection="1">
      <protection hidden="1"/>
    </xf>
    <xf numFmtId="0" fontId="16" fillId="2" borderId="0" xfId="0" applyFont="1" applyFill="1" applyProtection="1">
      <protection hidden="1"/>
    </xf>
    <xf numFmtId="0" fontId="28" fillId="2" borderId="0" xfId="0" applyFont="1" applyFill="1" applyAlignment="1" applyProtection="1">
      <alignment horizontal="left"/>
      <protection hidden="1"/>
    </xf>
    <xf numFmtId="3" fontId="10" fillId="2" borderId="0" xfId="0" applyNumberFormat="1" applyFont="1" applyFill="1" applyProtection="1">
      <protection hidden="1"/>
    </xf>
    <xf numFmtId="3" fontId="10" fillId="2" borderId="0" xfId="0" applyNumberFormat="1" applyFont="1" applyFill="1" applyAlignment="1" applyProtection="1">
      <alignment horizontal="left"/>
      <protection hidden="1"/>
    </xf>
    <xf numFmtId="165" fontId="16" fillId="2" borderId="0" xfId="1" applyNumberFormat="1" applyFont="1" applyFill="1" applyProtection="1">
      <protection hidden="1"/>
    </xf>
    <xf numFmtId="3" fontId="16" fillId="2" borderId="0" xfId="0" applyNumberFormat="1" applyFont="1" applyFill="1" applyProtection="1">
      <protection hidden="1"/>
    </xf>
    <xf numFmtId="0" fontId="28" fillId="2" borderId="0" xfId="0" applyFont="1" applyFill="1" applyAlignment="1" applyProtection="1">
      <alignment horizontal="right"/>
      <protection hidden="1"/>
    </xf>
    <xf numFmtId="43" fontId="29" fillId="2" borderId="0" xfId="1" applyFont="1" applyFill="1" applyBorder="1" applyAlignment="1" applyProtection="1">
      <alignment horizontal="center" vertical="center"/>
      <protection hidden="1"/>
    </xf>
    <xf numFmtId="43" fontId="29" fillId="2" borderId="0" xfId="1" applyFont="1" applyFill="1" applyBorder="1" applyAlignment="1" applyProtection="1">
      <alignment horizontal="right"/>
      <protection hidden="1"/>
    </xf>
    <xf numFmtId="43" fontId="29" fillId="2" borderId="0" xfId="1" applyNumberFormat="1" applyFont="1" applyFill="1" applyBorder="1" applyAlignment="1" applyProtection="1">
      <alignment horizontal="center" vertical="center"/>
      <protection hidden="1"/>
    </xf>
    <xf numFmtId="0" fontId="0" fillId="2" borderId="0" xfId="0" applyFill="1" applyAlignment="1" applyProtection="1">
      <alignment horizontal="left"/>
      <protection hidden="1"/>
    </xf>
    <xf numFmtId="164" fontId="0" fillId="2" borderId="0" xfId="0" applyNumberFormat="1" applyFill="1" applyProtection="1">
      <protection hidden="1"/>
    </xf>
    <xf numFmtId="9" fontId="13" fillId="2" borderId="0" xfId="0" applyNumberFormat="1" applyFont="1" applyFill="1" applyProtection="1">
      <protection hidden="1"/>
    </xf>
    <xf numFmtId="0" fontId="0" fillId="2" borderId="0" xfId="0" applyFill="1" applyAlignment="1" applyProtection="1">
      <alignment horizontal="center" vertical="center"/>
      <protection hidden="1"/>
    </xf>
    <xf numFmtId="43" fontId="13" fillId="2" borderId="0" xfId="1" applyNumberFormat="1" applyFont="1" applyFill="1" applyBorder="1" applyAlignment="1" applyProtection="1">
      <alignment horizontal="center" vertical="center"/>
      <protection hidden="1"/>
    </xf>
    <xf numFmtId="43" fontId="13" fillId="2" borderId="0" xfId="0" applyNumberFormat="1" applyFont="1" applyFill="1" applyBorder="1" applyAlignment="1" applyProtection="1">
      <alignment horizontal="center" vertical="center"/>
      <protection hidden="1"/>
    </xf>
    <xf numFmtId="43" fontId="0" fillId="2" borderId="0" xfId="0" applyNumberFormat="1" applyFill="1" applyBorder="1" applyAlignment="1" applyProtection="1">
      <alignment horizontal="center" vertical="center"/>
      <protection hidden="1"/>
    </xf>
    <xf numFmtId="0" fontId="0" fillId="2" borderId="0" xfId="0" applyFill="1" applyAlignment="1" applyProtection="1">
      <alignment horizontal="left" vertical="center"/>
      <protection hidden="1"/>
    </xf>
    <xf numFmtId="164" fontId="13" fillId="2" borderId="0" xfId="0" applyNumberFormat="1" applyFont="1" applyFill="1" applyProtection="1">
      <protection hidden="1"/>
    </xf>
    <xf numFmtId="43" fontId="0" fillId="2" borderId="0" xfId="0" applyNumberFormat="1" applyFill="1" applyProtection="1">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166" fontId="6" fillId="2" borderId="0" xfId="4" applyNumberFormat="1" applyFont="1" applyFill="1" applyBorder="1" applyProtection="1">
      <protection hidden="1"/>
    </xf>
    <xf numFmtId="0" fontId="0" fillId="2" borderId="0" xfId="0" applyFont="1" applyFill="1" applyBorder="1" applyAlignment="1" applyProtection="1">
      <alignment horizontal="center" vertical="center"/>
      <protection hidden="1"/>
    </xf>
    <xf numFmtId="166" fontId="6" fillId="2" borderId="0" xfId="4" applyNumberFormat="1" applyFont="1" applyFill="1" applyBorder="1" applyAlignment="1" applyProtection="1">
      <alignment horizontal="right"/>
      <protection hidden="1"/>
    </xf>
    <xf numFmtId="9" fontId="6" fillId="2" borderId="0" xfId="4" applyFont="1" applyFill="1" applyBorder="1" applyProtection="1">
      <protection hidden="1"/>
    </xf>
    <xf numFmtId="166" fontId="6" fillId="2" borderId="0" xfId="4" applyNumberFormat="1" applyFont="1" applyFill="1" applyBorder="1" applyProtection="1">
      <protection hidden="1"/>
    </xf>
    <xf numFmtId="0" fontId="10" fillId="2" borderId="0" xfId="0" applyFont="1" applyFill="1" applyAlignment="1" applyProtection="1">
      <alignment horizontal="left"/>
      <protection hidden="1"/>
    </xf>
    <xf numFmtId="0" fontId="10" fillId="2" borderId="0" xfId="0" applyFont="1" applyFill="1" applyAlignment="1" applyProtection="1">
      <alignment horizontal="center"/>
      <protection hidden="1"/>
    </xf>
    <xf numFmtId="165" fontId="10" fillId="2" borderId="18" xfId="1" applyNumberFormat="1" applyFont="1" applyFill="1" applyBorder="1" applyAlignment="1" applyProtection="1">
      <alignment horizontal="center"/>
      <protection hidden="1"/>
    </xf>
    <xf numFmtId="166" fontId="0" fillId="2" borderId="0" xfId="0" applyNumberFormat="1" applyFont="1" applyFill="1" applyBorder="1" applyProtection="1">
      <protection hidden="1"/>
    </xf>
    <xf numFmtId="166" fontId="0" fillId="2" borderId="0" xfId="0" applyNumberFormat="1" applyFill="1" applyAlignment="1" applyProtection="1">
      <alignment horizontal="right"/>
      <protection hidden="1"/>
    </xf>
    <xf numFmtId="165" fontId="10" fillId="0" borderId="0" xfId="1" applyNumberFormat="1" applyFont="1" applyFill="1" applyBorder="1" applyProtection="1">
      <protection hidden="1"/>
    </xf>
    <xf numFmtId="0" fontId="10" fillId="0" borderId="0" xfId="0" applyFont="1" applyBorder="1" applyProtection="1">
      <protection hidden="1"/>
    </xf>
    <xf numFmtId="165" fontId="10" fillId="2" borderId="0" xfId="1" applyNumberFormat="1" applyFont="1" applyFill="1" applyBorder="1" applyProtection="1">
      <protection hidden="1"/>
    </xf>
    <xf numFmtId="0" fontId="0" fillId="4" borderId="2" xfId="0" applyFont="1" applyFill="1" applyBorder="1" applyAlignment="1" applyProtection="1">
      <alignment horizontal="center" vertical="center"/>
      <protection hidden="1"/>
    </xf>
    <xf numFmtId="0" fontId="0" fillId="4" borderId="0" xfId="0" applyFill="1" applyProtection="1">
      <protection hidden="1"/>
    </xf>
    <xf numFmtId="0" fontId="0" fillId="4" borderId="0" xfId="0" applyFill="1" applyAlignment="1" applyProtection="1">
      <alignment horizontal="center"/>
      <protection hidden="1"/>
    </xf>
    <xf numFmtId="0" fontId="0" fillId="4" borderId="0" xfId="0" applyFont="1" applyFill="1" applyBorder="1" applyAlignment="1" applyProtection="1">
      <alignment horizontal="left"/>
      <protection hidden="1"/>
    </xf>
    <xf numFmtId="0" fontId="0" fillId="4" borderId="0" xfId="0" applyFont="1" applyFill="1" applyBorder="1" applyAlignment="1" applyProtection="1">
      <alignment horizontal="center"/>
      <protection hidden="1"/>
    </xf>
    <xf numFmtId="0" fontId="0" fillId="4" borderId="0" xfId="0" applyFont="1" applyFill="1" applyBorder="1" applyProtection="1">
      <protection hidden="1"/>
    </xf>
    <xf numFmtId="9" fontId="6" fillId="4" borderId="0" xfId="4" applyFont="1" applyFill="1" applyBorder="1" applyProtection="1">
      <protection hidden="1"/>
    </xf>
    <xf numFmtId="0" fontId="10" fillId="4" borderId="0" xfId="0" applyFont="1" applyFill="1" applyAlignment="1" applyProtection="1">
      <alignment horizontal="left"/>
      <protection hidden="1"/>
    </xf>
    <xf numFmtId="0" fontId="10" fillId="4" borderId="0" xfId="0" applyFont="1" applyFill="1" applyAlignment="1" applyProtection="1">
      <alignment horizontal="center"/>
      <protection hidden="1"/>
    </xf>
    <xf numFmtId="0" fontId="10" fillId="4" borderId="0" xfId="0" applyFont="1" applyFill="1" applyProtection="1">
      <protection hidden="1"/>
    </xf>
    <xf numFmtId="0" fontId="10" fillId="4" borderId="2" xfId="0" applyFont="1" applyFill="1" applyBorder="1" applyAlignment="1" applyProtection="1">
      <alignment horizontal="center" vertical="center"/>
      <protection hidden="1"/>
    </xf>
    <xf numFmtId="0" fontId="10" fillId="4" borderId="2" xfId="0" applyFont="1" applyFill="1" applyBorder="1" applyAlignment="1" applyProtection="1">
      <alignment horizontal="center" vertical="center" wrapText="1"/>
      <protection hidden="1"/>
    </xf>
    <xf numFmtId="165" fontId="10" fillId="4" borderId="2" xfId="1" applyNumberFormat="1" applyFont="1" applyFill="1" applyBorder="1" applyAlignment="1" applyProtection="1">
      <alignment horizontal="center" vertical="center"/>
      <protection hidden="1"/>
    </xf>
    <xf numFmtId="165" fontId="10" fillId="4" borderId="2" xfId="1" applyNumberFormat="1" applyFont="1" applyFill="1" applyBorder="1" applyAlignment="1" applyProtection="1">
      <alignment horizontal="center" vertical="center" wrapText="1"/>
      <protection hidden="1"/>
    </xf>
    <xf numFmtId="43" fontId="6" fillId="2" borderId="2" xfId="1" applyFont="1" applyFill="1" applyBorder="1" applyAlignment="1" applyProtection="1">
      <alignment horizontal="center" vertical="center"/>
      <protection hidden="1"/>
    </xf>
    <xf numFmtId="43" fontId="6" fillId="2" borderId="2" xfId="1" applyNumberFormat="1" applyFont="1" applyFill="1" applyBorder="1" applyAlignment="1" applyProtection="1">
      <alignment horizontal="center" vertical="center"/>
      <protection hidden="1"/>
    </xf>
    <xf numFmtId="43" fontId="6" fillId="2" borderId="2" xfId="1" applyNumberFormat="1" applyFont="1" applyFill="1" applyBorder="1" applyProtection="1">
      <protection hidden="1"/>
    </xf>
    <xf numFmtId="43" fontId="0" fillId="2" borderId="2" xfId="0" applyNumberFormat="1" applyFill="1" applyBorder="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10" fillId="2" borderId="0" xfId="0" applyFont="1" applyFill="1" applyBorder="1" applyProtection="1">
      <protection hidden="1"/>
    </xf>
    <xf numFmtId="0" fontId="10" fillId="2" borderId="2"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wrapText="1"/>
      <protection hidden="1"/>
    </xf>
    <xf numFmtId="165" fontId="10" fillId="2" borderId="2" xfId="1" applyNumberFormat="1" applyFont="1" applyFill="1" applyBorder="1" applyAlignment="1" applyProtection="1">
      <alignment horizontal="center" vertical="center"/>
      <protection hidden="1"/>
    </xf>
    <xf numFmtId="165" fontId="10" fillId="2" borderId="2" xfId="1" applyNumberFormat="1" applyFont="1" applyFill="1" applyBorder="1" applyAlignment="1" applyProtection="1">
      <alignment horizontal="center" vertical="center" wrapText="1"/>
      <protection hidden="1"/>
    </xf>
    <xf numFmtId="9" fontId="13" fillId="2" borderId="0" xfId="4" applyFont="1" applyFill="1" applyProtection="1">
      <protection hidden="1"/>
    </xf>
    <xf numFmtId="0" fontId="0" fillId="4" borderId="2" xfId="0" applyFill="1" applyBorder="1" applyAlignment="1" applyProtection="1">
      <alignment horizontal="center" vertical="center"/>
      <protection hidden="1"/>
    </xf>
    <xf numFmtId="165" fontId="6" fillId="0" borderId="0" xfId="1" applyNumberFormat="1" applyFont="1" applyAlignment="1" applyProtection="1">
      <alignment vertical="center"/>
      <protection hidden="1"/>
    </xf>
    <xf numFmtId="0" fontId="0" fillId="0" borderId="2" xfId="0" applyFont="1" applyBorder="1" applyAlignment="1" applyProtection="1">
      <alignment horizontal="center" vertical="center"/>
      <protection hidden="1"/>
    </xf>
    <xf numFmtId="165" fontId="9" fillId="0" borderId="0" xfId="2" applyNumberFormat="1" applyFont="1" applyBorder="1" applyAlignment="1" applyProtection="1">
      <alignment horizontal="right" vertical="center"/>
      <protection locked="0"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0" fillId="3" borderId="0" xfId="0" applyFont="1" applyFill="1" applyAlignment="1" applyProtection="1">
      <alignment vertical="center"/>
      <protection hidden="1"/>
    </xf>
    <xf numFmtId="0" fontId="0" fillId="3" borderId="0" xfId="0" applyFont="1" applyFill="1" applyAlignment="1" applyProtection="1">
      <alignment horizontal="center" vertical="center"/>
      <protection hidden="1"/>
    </xf>
    <xf numFmtId="43" fontId="6" fillId="0" borderId="0" xfId="1" applyNumberFormat="1" applyFont="1" applyFill="1" applyBorder="1" applyAlignment="1" applyProtection="1">
      <alignment horizontal="center" vertical="center"/>
      <protection hidden="1"/>
    </xf>
    <xf numFmtId="165" fontId="6" fillId="0" borderId="0" xfId="1" applyNumberFormat="1" applyFont="1" applyFill="1" applyAlignment="1" applyProtection="1">
      <alignment vertical="center"/>
      <protection hidden="1"/>
    </xf>
    <xf numFmtId="165" fontId="6" fillId="0" borderId="0" xfId="1" applyNumberFormat="1" applyFont="1" applyBorder="1" applyAlignment="1" applyProtection="1">
      <alignment vertical="center"/>
      <protection hidden="1"/>
    </xf>
    <xf numFmtId="165" fontId="6" fillId="0" borderId="0" xfId="1" applyNumberFormat="1" applyFont="1" applyFill="1" applyBorder="1" applyAlignment="1" applyProtection="1">
      <alignment vertical="center"/>
      <protection hidden="1"/>
    </xf>
    <xf numFmtId="165" fontId="6" fillId="3" borderId="0" xfId="1" applyNumberFormat="1" applyFont="1" applyFill="1" applyBorder="1" applyAlignment="1" applyProtection="1">
      <alignment vertical="center"/>
      <protection hidden="1"/>
    </xf>
    <xf numFmtId="9" fontId="6" fillId="0" borderId="0" xfId="4" applyFont="1" applyBorder="1" applyAlignment="1" applyProtection="1">
      <alignment vertical="center"/>
      <protection hidden="1"/>
    </xf>
    <xf numFmtId="9" fontId="6" fillId="3" borderId="0" xfId="4" applyFont="1" applyFill="1" applyBorder="1" applyAlignment="1" applyProtection="1">
      <alignment vertical="center"/>
      <protection hidden="1"/>
    </xf>
    <xf numFmtId="9" fontId="6" fillId="0" borderId="0" xfId="4" applyFont="1" applyFill="1" applyBorder="1" applyAlignment="1" applyProtection="1">
      <alignment vertical="center"/>
      <protection hidden="1"/>
    </xf>
    <xf numFmtId="0" fontId="0" fillId="0" borderId="0" xfId="0" applyFont="1" applyAlignment="1" applyProtection="1">
      <alignment horizontal="left" vertical="center"/>
      <protection hidden="1"/>
    </xf>
    <xf numFmtId="9" fontId="0" fillId="0" borderId="0" xfId="0" applyNumberFormat="1" applyFont="1" applyAlignment="1" applyProtection="1">
      <alignment horizontal="right" vertical="center"/>
      <protection hidden="1"/>
    </xf>
    <xf numFmtId="166" fontId="0" fillId="0" borderId="0" xfId="0" applyNumberFormat="1" applyFont="1" applyAlignment="1" applyProtection="1">
      <alignment horizontal="right" vertical="center"/>
      <protection hidden="1"/>
    </xf>
    <xf numFmtId="43" fontId="6" fillId="0" borderId="0" xfId="1" applyNumberFormat="1" applyFont="1" applyAlignment="1" applyProtection="1">
      <alignment vertical="center"/>
      <protection hidden="1"/>
    </xf>
    <xf numFmtId="43" fontId="6" fillId="0" borderId="0" xfId="1" applyNumberFormat="1" applyFont="1" applyFill="1" applyBorder="1" applyAlignment="1" applyProtection="1">
      <alignment vertical="center"/>
      <protection hidden="1"/>
    </xf>
    <xf numFmtId="43" fontId="6" fillId="0" borderId="2" xfId="1" applyNumberFormat="1" applyFont="1" applyBorder="1" applyAlignment="1" applyProtection="1">
      <alignment vertical="center"/>
      <protection hidden="1"/>
    </xf>
    <xf numFmtId="43" fontId="6" fillId="0" borderId="2" xfId="1" applyNumberFormat="1" applyFont="1" applyBorder="1" applyAlignment="1" applyProtection="1">
      <alignment horizontal="center" vertical="center"/>
      <protection hidden="1"/>
    </xf>
    <xf numFmtId="0" fontId="0" fillId="0" borderId="6" xfId="0" applyFont="1" applyBorder="1" applyAlignment="1" applyProtection="1">
      <alignment horizontal="center" vertical="center" wrapText="1"/>
      <protection hidden="1"/>
    </xf>
    <xf numFmtId="0" fontId="0" fillId="0" borderId="2" xfId="0" applyFont="1" applyBorder="1" applyAlignment="1" applyProtection="1">
      <alignment horizontal="center" vertical="center" wrapText="1"/>
      <protection hidden="1"/>
    </xf>
    <xf numFmtId="0" fontId="0" fillId="0" borderId="8" xfId="0" applyFont="1" applyBorder="1" applyAlignment="1" applyProtection="1">
      <alignment horizontal="center" vertical="center" wrapText="1"/>
      <protection hidden="1"/>
    </xf>
    <xf numFmtId="0" fontId="0" fillId="0" borderId="6" xfId="0" applyFont="1" applyBorder="1" applyAlignment="1" applyProtection="1">
      <alignment horizontal="center" vertical="center"/>
      <protection hidden="1"/>
    </xf>
    <xf numFmtId="165" fontId="0" fillId="0" borderId="6" xfId="0" applyNumberFormat="1" applyFont="1" applyBorder="1" applyAlignment="1" applyProtection="1">
      <alignment horizontal="center" vertical="center"/>
      <protection hidden="1"/>
    </xf>
    <xf numFmtId="165" fontId="0" fillId="0" borderId="2" xfId="0" applyNumberFormat="1" applyFont="1" applyBorder="1" applyAlignment="1" applyProtection="1">
      <alignment horizontal="center" vertical="center"/>
      <protection hidden="1"/>
    </xf>
    <xf numFmtId="165" fontId="6" fillId="0" borderId="2" xfId="1" applyNumberFormat="1" applyFont="1" applyBorder="1" applyAlignment="1" applyProtection="1">
      <alignment vertical="center"/>
      <protection hidden="1"/>
    </xf>
    <xf numFmtId="165" fontId="6" fillId="0" borderId="1" xfId="1" applyNumberFormat="1" applyFont="1" applyBorder="1" applyAlignment="1" applyProtection="1">
      <alignment vertical="center"/>
      <protection hidden="1"/>
    </xf>
    <xf numFmtId="0" fontId="0" fillId="0" borderId="0" xfId="0" applyFont="1" applyBorder="1" applyAlignment="1" applyProtection="1">
      <alignment horizontal="center" vertical="center" wrapText="1"/>
      <protection hidden="1"/>
    </xf>
    <xf numFmtId="165" fontId="6" fillId="0" borderId="2" xfId="1" applyNumberFormat="1" applyFont="1" applyBorder="1" applyAlignment="1" applyProtection="1">
      <alignment horizontal="center" vertical="center"/>
      <protection hidden="1"/>
    </xf>
    <xf numFmtId="165" fontId="0" fillId="0" borderId="2" xfId="0" applyNumberFormat="1" applyFont="1" applyBorder="1" applyAlignment="1" applyProtection="1">
      <alignment horizontal="center" vertical="center" wrapText="1"/>
      <protection hidden="1"/>
    </xf>
    <xf numFmtId="43" fontId="6" fillId="0" borderId="2" xfId="1" applyNumberFormat="1"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43" fontId="6" fillId="0" borderId="20" xfId="1" applyNumberFormat="1" applyFont="1" applyBorder="1" applyAlignment="1" applyProtection="1">
      <alignment vertical="center"/>
      <protection hidden="1"/>
    </xf>
    <xf numFmtId="43" fontId="6" fillId="0" borderId="20" xfId="1" applyNumberFormat="1"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43" fontId="6" fillId="0" borderId="2" xfId="1" applyNumberFormat="1" applyFont="1" applyBorder="1" applyAlignment="1" applyProtection="1">
      <alignment horizontal="right" vertical="center"/>
      <protection hidden="1"/>
    </xf>
    <xf numFmtId="165" fontId="0" fillId="0" borderId="6" xfId="0" applyNumberFormat="1" applyFont="1" applyBorder="1" applyAlignment="1" applyProtection="1">
      <alignment horizontal="center" vertical="center" wrapText="1"/>
      <protection hidden="1"/>
    </xf>
    <xf numFmtId="0" fontId="0" fillId="0" borderId="21" xfId="0" applyFont="1" applyBorder="1" applyAlignment="1" applyProtection="1">
      <alignment horizontal="center" vertical="center" wrapText="1"/>
      <protection hidden="1"/>
    </xf>
    <xf numFmtId="43" fontId="6" fillId="0" borderId="0" xfId="1" applyNumberFormat="1" applyFont="1" applyBorder="1" applyAlignment="1" applyProtection="1">
      <alignment horizontal="right" vertical="center"/>
      <protection hidden="1"/>
    </xf>
    <xf numFmtId="43" fontId="6" fillId="0" borderId="0" xfId="1" applyNumberFormat="1" applyFont="1" applyBorder="1" applyAlignment="1" applyProtection="1">
      <alignment horizontal="center" vertical="center"/>
      <protection hidden="1"/>
    </xf>
    <xf numFmtId="165" fontId="0" fillId="0" borderId="0" xfId="0" applyNumberFormat="1" applyFont="1" applyBorder="1" applyAlignment="1" applyProtection="1">
      <alignment horizontal="center" vertical="center" wrapText="1"/>
      <protection hidden="1"/>
    </xf>
    <xf numFmtId="165" fontId="6" fillId="0" borderId="0" xfId="1" applyNumberFormat="1" applyFont="1" applyBorder="1" applyProtection="1">
      <protection hidden="1"/>
    </xf>
    <xf numFmtId="0" fontId="10" fillId="2" borderId="0" xfId="0" applyFont="1" applyFill="1" applyAlignment="1" applyProtection="1">
      <alignment horizontal="left" vertical="center" wrapText="1"/>
      <protection hidden="1"/>
    </xf>
    <xf numFmtId="0" fontId="34" fillId="0" borderId="0" xfId="0" applyFont="1" applyBorder="1" applyAlignment="1" applyProtection="1">
      <alignment horizontal="center" vertical="center"/>
      <protection hidden="1"/>
    </xf>
    <xf numFmtId="43" fontId="34" fillId="0" borderId="0" xfId="1" applyNumberFormat="1" applyFont="1" applyBorder="1" applyAlignment="1" applyProtection="1">
      <alignment horizontal="center" vertical="center"/>
      <protection hidden="1"/>
    </xf>
    <xf numFmtId="165" fontId="34" fillId="0" borderId="0" xfId="1" applyNumberFormat="1" applyFont="1" applyBorder="1" applyAlignment="1" applyProtection="1">
      <alignment horizontal="center" vertical="center"/>
      <protection hidden="1"/>
    </xf>
    <xf numFmtId="165" fontId="34" fillId="0" borderId="0" xfId="1" applyNumberFormat="1" applyFont="1" applyBorder="1" applyProtection="1">
      <protection hidden="1"/>
    </xf>
    <xf numFmtId="0" fontId="19" fillId="2" borderId="0" xfId="0" applyFont="1" applyFill="1" applyAlignment="1" applyProtection="1">
      <alignment wrapText="1"/>
      <protection hidden="1"/>
    </xf>
    <xf numFmtId="0" fontId="19" fillId="2" borderId="0" xfId="0" applyFont="1" applyFill="1" applyAlignment="1" applyProtection="1">
      <alignment vertical="center" wrapText="1"/>
      <protection hidden="1"/>
    </xf>
    <xf numFmtId="0" fontId="32" fillId="2" borderId="0" xfId="0" applyFont="1" applyFill="1" applyAlignment="1" applyProtection="1">
      <alignment vertical="center" wrapText="1"/>
      <protection hidden="1"/>
    </xf>
    <xf numFmtId="1" fontId="18" fillId="0" borderId="2" xfId="1" applyNumberFormat="1" applyFont="1" applyFill="1" applyBorder="1" applyAlignment="1" applyProtection="1">
      <alignment horizontal="center" vertical="center"/>
    </xf>
    <xf numFmtId="0" fontId="32" fillId="2" borderId="0" xfId="0" applyFont="1" applyFill="1" applyBorder="1" applyAlignment="1" applyProtection="1">
      <alignment vertical="top"/>
      <protection hidden="1"/>
    </xf>
    <xf numFmtId="0" fontId="35" fillId="0" borderId="0" xfId="0" applyFont="1" applyProtection="1">
      <protection hidden="1"/>
    </xf>
    <xf numFmtId="0" fontId="35" fillId="2" borderId="0" xfId="0" applyFont="1" applyFill="1" applyProtection="1">
      <protection hidden="1"/>
    </xf>
    <xf numFmtId="0" fontId="34" fillId="2" borderId="0" xfId="0" applyFont="1" applyFill="1" applyBorder="1" applyAlignment="1" applyProtection="1">
      <alignment horizontal="center" vertical="center"/>
      <protection hidden="1"/>
    </xf>
    <xf numFmtId="43" fontId="34" fillId="2" borderId="0" xfId="1" applyNumberFormat="1" applyFont="1" applyFill="1" applyBorder="1" applyAlignment="1" applyProtection="1">
      <alignment horizontal="center" vertical="center"/>
      <protection hidden="1"/>
    </xf>
    <xf numFmtId="165" fontId="34" fillId="2" borderId="0" xfId="1" applyNumberFormat="1" applyFont="1" applyFill="1" applyBorder="1" applyAlignment="1" applyProtection="1">
      <alignment horizontal="center" vertical="center"/>
      <protection hidden="1"/>
    </xf>
    <xf numFmtId="0" fontId="20" fillId="11" borderId="0" xfId="0" applyFont="1" applyFill="1" applyAlignment="1">
      <alignment horizontal="center" vertical="center" wrapText="1"/>
    </xf>
    <xf numFmtId="165" fontId="9" fillId="2" borderId="0" xfId="2" applyNumberFormat="1" applyFill="1" applyBorder="1" applyAlignment="1" applyProtection="1">
      <alignment horizontal="right" vertical="center"/>
      <protection locked="0"/>
    </xf>
    <xf numFmtId="165" fontId="9" fillId="0" borderId="0" xfId="2" applyNumberFormat="1" applyBorder="1" applyAlignment="1" applyProtection="1">
      <alignment horizontal="right" vertical="center"/>
      <protection locked="0"/>
    </xf>
    <xf numFmtId="43" fontId="6" fillId="0" borderId="0" xfId="1" applyNumberFormat="1" applyFont="1" applyBorder="1" applyAlignment="1" applyProtection="1">
      <alignment horizontal="center" vertical="center"/>
      <protection hidden="1"/>
    </xf>
    <xf numFmtId="43" fontId="6" fillId="0" borderId="0" xfId="1" applyNumberFormat="1" applyFont="1" applyFill="1" applyBorder="1" applyAlignment="1" applyProtection="1">
      <alignment horizontal="center" vertical="center"/>
      <protection hidden="1"/>
    </xf>
    <xf numFmtId="0" fontId="0" fillId="0" borderId="0" xfId="0" applyFont="1" applyBorder="1" applyAlignment="1" applyProtection="1">
      <alignment horizontal="left" vertical="center" indent="2"/>
      <protection hidden="1"/>
    </xf>
    <xf numFmtId="9" fontId="6" fillId="0" borderId="0" xfId="4" applyFont="1" applyBorder="1" applyAlignment="1" applyProtection="1">
      <alignment vertical="center"/>
      <protection hidden="1"/>
    </xf>
    <xf numFmtId="0" fontId="15" fillId="7" borderId="1" xfId="0" applyFont="1" applyFill="1" applyBorder="1" applyAlignment="1" applyProtection="1">
      <alignment horizontal="center" vertical="center"/>
      <protection locked="0"/>
    </xf>
    <xf numFmtId="0" fontId="7" fillId="2" borderId="0" xfId="0" applyFont="1" applyFill="1" applyBorder="1" applyProtection="1">
      <protection hidden="1"/>
    </xf>
    <xf numFmtId="0" fontId="8" fillId="2" borderId="0" xfId="0" applyFont="1" applyFill="1" applyBorder="1" applyAlignment="1" applyProtection="1">
      <alignment horizontal="center" vertical="center"/>
      <protection hidden="1"/>
    </xf>
    <xf numFmtId="0" fontId="7" fillId="9" borderId="47" xfId="0" applyFont="1" applyFill="1" applyBorder="1" applyAlignment="1">
      <alignment horizontal="center" vertical="center"/>
    </xf>
    <xf numFmtId="0" fontId="0" fillId="11" borderId="10" xfId="0" applyFill="1" applyBorder="1" applyAlignment="1">
      <alignment horizontal="center" vertical="center"/>
    </xf>
    <xf numFmtId="0" fontId="0" fillId="11" borderId="0" xfId="0" applyFill="1" applyBorder="1" applyAlignment="1">
      <alignment horizontal="center" vertical="center"/>
    </xf>
    <xf numFmtId="2" fontId="0" fillId="0" borderId="11" xfId="0" applyNumberFormat="1" applyBorder="1" applyAlignment="1">
      <alignment horizontal="left" vertical="center"/>
    </xf>
    <xf numFmtId="2" fontId="0" fillId="0" borderId="13" xfId="0" applyNumberFormat="1" applyBorder="1" applyAlignment="1">
      <alignment horizontal="left" vertical="center"/>
    </xf>
    <xf numFmtId="0" fontId="36" fillId="0" borderId="31" xfId="2" applyFont="1" applyBorder="1" applyAlignment="1" applyProtection="1">
      <alignment horizontal="center" vertical="center" wrapText="1"/>
    </xf>
    <xf numFmtId="0" fontId="36" fillId="0" borderId="32" xfId="2" applyFont="1" applyBorder="1" applyAlignment="1" applyProtection="1">
      <alignment horizontal="center" vertical="center" wrapText="1"/>
    </xf>
    <xf numFmtId="0" fontId="37" fillId="0" borderId="9" xfId="2" applyFont="1" applyFill="1" applyBorder="1" applyAlignment="1" applyProtection="1">
      <alignment horizontal="center" vertical="center" wrapText="1"/>
    </xf>
    <xf numFmtId="0" fontId="37" fillId="0" borderId="11" xfId="2" applyFont="1" applyFill="1" applyBorder="1" applyAlignment="1" applyProtection="1">
      <alignment horizontal="center" vertical="center" wrapText="1"/>
    </xf>
    <xf numFmtId="0" fontId="37" fillId="0" borderId="22" xfId="2" applyFont="1" applyFill="1" applyBorder="1" applyAlignment="1" applyProtection="1">
      <alignment horizontal="center" vertical="center" wrapText="1"/>
    </xf>
    <xf numFmtId="0" fontId="37" fillId="0" borderId="24" xfId="2"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7" fillId="6" borderId="21" xfId="0" applyFont="1" applyFill="1" applyBorder="1" applyAlignment="1" applyProtection="1">
      <alignment horizontal="center" vertical="center"/>
    </xf>
    <xf numFmtId="0" fontId="37" fillId="0" borderId="33" xfId="2" applyFont="1" applyFill="1" applyBorder="1" applyAlignment="1" applyProtection="1">
      <alignment horizontal="center" vertical="center" wrapText="1"/>
    </xf>
    <xf numFmtId="0" fontId="37" fillId="0" borderId="34" xfId="2" applyFont="1" applyFill="1" applyBorder="1" applyAlignment="1" applyProtection="1">
      <alignment horizontal="center" vertical="center" wrapText="1"/>
    </xf>
    <xf numFmtId="0" fontId="37" fillId="0" borderId="35" xfId="2" applyFont="1" applyFill="1" applyBorder="1" applyAlignment="1" applyProtection="1">
      <alignment horizontal="center" vertical="center" wrapText="1"/>
    </xf>
    <xf numFmtId="0" fontId="37" fillId="0" borderId="36" xfId="2" applyFont="1" applyFill="1" applyBorder="1" applyAlignment="1" applyProtection="1">
      <alignment horizontal="center" vertical="center" wrapText="1"/>
    </xf>
    <xf numFmtId="0" fontId="37" fillId="0" borderId="22" xfId="2" applyFont="1" applyFill="1" applyBorder="1" applyAlignment="1" applyProtection="1">
      <alignment horizontal="center" vertical="center"/>
    </xf>
    <xf numFmtId="0" fontId="37" fillId="0" borderId="12" xfId="2" applyFont="1" applyFill="1" applyBorder="1" applyAlignment="1" applyProtection="1">
      <alignment horizontal="center" vertical="center" wrapText="1"/>
    </xf>
    <xf numFmtId="0" fontId="9" fillId="0" borderId="8" xfId="2" applyFont="1" applyBorder="1" applyAlignment="1" applyProtection="1">
      <alignment horizontal="center" vertical="center"/>
    </xf>
    <xf numFmtId="0" fontId="9" fillId="0" borderId="21" xfId="2" applyFont="1" applyBorder="1" applyAlignment="1" applyProtection="1">
      <alignment horizontal="center" vertical="center"/>
    </xf>
    <xf numFmtId="0" fontId="9" fillId="0" borderId="8" xfId="2" applyFill="1" applyBorder="1" applyAlignment="1" applyProtection="1">
      <alignment horizontal="center" vertical="center" wrapText="1"/>
    </xf>
    <xf numFmtId="0" fontId="9" fillId="0" borderId="21" xfId="2" applyFill="1" applyBorder="1" applyAlignment="1" applyProtection="1">
      <alignment horizontal="center" vertical="center" wrapText="1"/>
    </xf>
    <xf numFmtId="0" fontId="9" fillId="0" borderId="8" xfId="2" applyFill="1" applyBorder="1" applyAlignment="1" applyProtection="1">
      <alignment horizontal="center" vertical="center"/>
    </xf>
    <xf numFmtId="0" fontId="9" fillId="0" borderId="21" xfId="2" applyFill="1" applyBorder="1" applyAlignment="1" applyProtection="1">
      <alignment horizontal="center" vertical="center"/>
    </xf>
    <xf numFmtId="0" fontId="36" fillId="0" borderId="37" xfId="2" applyFont="1" applyBorder="1" applyAlignment="1" applyProtection="1">
      <alignment horizontal="center" vertical="center" wrapText="1"/>
    </xf>
    <xf numFmtId="0" fontId="36" fillId="0" borderId="38" xfId="2" applyFont="1" applyBorder="1" applyAlignment="1" applyProtection="1">
      <alignment horizontal="center" vertical="center" wrapText="1"/>
    </xf>
    <xf numFmtId="0" fontId="36" fillId="0" borderId="39" xfId="2" applyFont="1" applyBorder="1" applyAlignment="1" applyProtection="1">
      <alignment horizontal="center" vertical="center" wrapText="1"/>
    </xf>
    <xf numFmtId="0" fontId="36" fillId="0" borderId="40" xfId="2" applyFont="1" applyBorder="1" applyAlignment="1" applyProtection="1">
      <alignment horizontal="center" vertical="center" wrapText="1"/>
    </xf>
    <xf numFmtId="0" fontId="27" fillId="6" borderId="0" xfId="0" applyFont="1" applyFill="1" applyAlignment="1" applyProtection="1">
      <alignment horizontal="center" vertical="center"/>
    </xf>
    <xf numFmtId="0" fontId="38" fillId="0" borderId="8" xfId="2" applyFont="1" applyFill="1" applyBorder="1" applyAlignment="1" applyProtection="1">
      <alignment horizontal="center" vertical="center" wrapText="1"/>
    </xf>
    <xf numFmtId="0" fontId="38" fillId="0" borderId="21" xfId="2" applyFont="1" applyFill="1" applyBorder="1" applyAlignment="1" applyProtection="1">
      <alignment horizontal="center" vertical="center" wrapText="1"/>
    </xf>
    <xf numFmtId="0" fontId="36" fillId="0" borderId="41" xfId="2" applyFont="1" applyBorder="1" applyAlignment="1" applyProtection="1">
      <alignment horizontal="center" vertical="center" wrapText="1"/>
    </xf>
    <xf numFmtId="0" fontId="36" fillId="0" borderId="19" xfId="2" applyFont="1" applyBorder="1" applyAlignment="1" applyProtection="1">
      <alignment horizontal="center" vertical="center" wrapText="1"/>
    </xf>
    <xf numFmtId="0" fontId="36" fillId="0" borderId="42" xfId="2" applyFont="1" applyBorder="1" applyAlignment="1" applyProtection="1">
      <alignment horizontal="center" vertical="center"/>
    </xf>
    <xf numFmtId="0" fontId="36" fillId="0" borderId="43" xfId="2" applyFont="1" applyBorder="1" applyAlignment="1" applyProtection="1">
      <alignment horizontal="center" vertical="center"/>
    </xf>
    <xf numFmtId="0" fontId="39" fillId="6" borderId="27" xfId="0" applyFont="1" applyFill="1" applyBorder="1" applyAlignment="1" applyProtection="1">
      <alignment horizontal="center" vertical="center"/>
      <protection hidden="1"/>
    </xf>
    <xf numFmtId="0" fontId="39" fillId="6" borderId="0" xfId="0" applyFont="1" applyFill="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0" fontId="34" fillId="2" borderId="0" xfId="0" applyFont="1" applyFill="1" applyAlignment="1" applyProtection="1">
      <alignment horizontal="left" vertical="center" wrapText="1"/>
      <protection hidden="1"/>
    </xf>
    <xf numFmtId="0" fontId="40" fillId="2" borderId="0" xfId="0" applyFont="1" applyFill="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165" fontId="0" fillId="0" borderId="8" xfId="0" applyNumberFormat="1" applyFont="1" applyBorder="1" applyAlignment="1" applyProtection="1">
      <alignment horizontal="center" vertical="center"/>
      <protection hidden="1"/>
    </xf>
    <xf numFmtId="165" fontId="0" fillId="0" borderId="21" xfId="0" applyNumberFormat="1" applyFont="1" applyBorder="1" applyAlignment="1" applyProtection="1">
      <alignment horizontal="center" vertical="center"/>
      <protection hidden="1"/>
    </xf>
    <xf numFmtId="0" fontId="10" fillId="3" borderId="2" xfId="0" applyFont="1" applyFill="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43" fontId="6" fillId="0" borderId="0" xfId="1" applyNumberFormat="1" applyFont="1" applyBorder="1" applyAlignment="1" applyProtection="1">
      <alignment horizontal="center" vertical="center"/>
      <protection hidden="1"/>
    </xf>
    <xf numFmtId="43" fontId="6" fillId="3" borderId="0" xfId="1" applyNumberFormat="1" applyFont="1" applyFill="1" applyBorder="1" applyAlignment="1" applyProtection="1">
      <alignment horizontal="center" vertical="center"/>
      <protection hidden="1"/>
    </xf>
    <xf numFmtId="43" fontId="6" fillId="0" borderId="0" xfId="1" applyNumberFormat="1" applyFont="1" applyFill="1" applyBorder="1" applyAlignment="1" applyProtection="1">
      <alignment horizontal="center" vertical="center"/>
      <protection hidden="1"/>
    </xf>
    <xf numFmtId="43" fontId="10" fillId="3" borderId="6" xfId="1" applyNumberFormat="1" applyFont="1" applyFill="1" applyBorder="1" applyAlignment="1" applyProtection="1">
      <alignment horizontal="center" vertical="center"/>
      <protection hidden="1"/>
    </xf>
    <xf numFmtId="0" fontId="10" fillId="2" borderId="0" xfId="0" applyFont="1" applyFill="1" applyAlignment="1" applyProtection="1">
      <alignment horizontal="left" vertical="center" wrapText="1"/>
      <protection hidden="1"/>
    </xf>
    <xf numFmtId="165" fontId="10" fillId="0" borderId="0" xfId="1" applyNumberFormat="1" applyFont="1" applyAlignment="1" applyProtection="1">
      <alignment horizontal="right" vertical="center"/>
      <protection hidden="1"/>
    </xf>
    <xf numFmtId="43" fontId="6" fillId="3" borderId="0" xfId="1" applyNumberFormat="1" applyFont="1" applyFill="1" applyAlignment="1" applyProtection="1">
      <alignment horizontal="center" vertical="center"/>
      <protection hidden="1"/>
    </xf>
    <xf numFmtId="0" fontId="39" fillId="6" borderId="8" xfId="0" applyFont="1" applyFill="1" applyBorder="1" applyAlignment="1" applyProtection="1">
      <alignment horizontal="center" vertical="center"/>
      <protection hidden="1"/>
    </xf>
    <xf numFmtId="0" fontId="39" fillId="6" borderId="6" xfId="0" applyFont="1" applyFill="1" applyBorder="1" applyAlignment="1" applyProtection="1">
      <alignment horizontal="center" vertical="center"/>
      <protection hidden="1"/>
    </xf>
    <xf numFmtId="0" fontId="39" fillId="6" borderId="21"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21" xfId="0" applyFont="1" applyBorder="1" applyAlignment="1" applyProtection="1">
      <alignment horizontal="center" vertical="center"/>
      <protection hidden="1"/>
    </xf>
    <xf numFmtId="3" fontId="10" fillId="0" borderId="8" xfId="0" applyNumberFormat="1" applyFont="1" applyBorder="1" applyAlignment="1" applyProtection="1">
      <alignment horizontal="center" vertical="center"/>
      <protection hidden="1"/>
    </xf>
    <xf numFmtId="3" fontId="10" fillId="0" borderId="21" xfId="0" applyNumberFormat="1" applyFont="1" applyBorder="1" applyAlignment="1" applyProtection="1">
      <alignment horizontal="center" vertical="center"/>
      <protection hidden="1"/>
    </xf>
    <xf numFmtId="2" fontId="10" fillId="0" borderId="2" xfId="0" applyNumberFormat="1" applyFont="1" applyBorder="1" applyAlignment="1" applyProtection="1">
      <alignment horizontal="center" vertical="center"/>
      <protection hidden="1"/>
    </xf>
    <xf numFmtId="0" fontId="0" fillId="0" borderId="1" xfId="0" applyFont="1" applyBorder="1" applyAlignment="1" applyProtection="1">
      <alignment horizontal="center" vertical="center" wrapText="1"/>
      <protection hidden="1"/>
    </xf>
    <xf numFmtId="0" fontId="34" fillId="2" borderId="0" xfId="0" applyFont="1" applyFill="1" applyAlignment="1" applyProtection="1">
      <alignment horizontal="left" wrapText="1"/>
      <protection hidden="1"/>
    </xf>
    <xf numFmtId="0" fontId="10" fillId="2" borderId="0" xfId="0" applyFont="1" applyFill="1" applyAlignment="1" applyProtection="1">
      <alignment horizontal="center"/>
      <protection hidden="1"/>
    </xf>
    <xf numFmtId="165" fontId="10" fillId="2" borderId="18" xfId="1" applyNumberFormat="1" applyFont="1" applyFill="1" applyBorder="1" applyAlignment="1" applyProtection="1">
      <alignment horizontal="center"/>
      <protection hidden="1"/>
    </xf>
    <xf numFmtId="43" fontId="6" fillId="2" borderId="7" xfId="1" applyNumberFormat="1" applyFont="1" applyFill="1" applyBorder="1" applyAlignment="1" applyProtection="1">
      <alignment horizontal="center"/>
      <protection hidden="1"/>
    </xf>
    <xf numFmtId="43" fontId="10" fillId="4" borderId="6" xfId="1" applyNumberFormat="1" applyFont="1" applyFill="1" applyBorder="1" applyAlignment="1" applyProtection="1">
      <alignment horizontal="center" vertical="center"/>
      <protection hidden="1"/>
    </xf>
    <xf numFmtId="43" fontId="6" fillId="2" borderId="0" xfId="1" applyNumberFormat="1" applyFont="1" applyFill="1" applyBorder="1" applyAlignment="1" applyProtection="1">
      <alignment horizontal="center"/>
      <protection hidden="1"/>
    </xf>
    <xf numFmtId="43" fontId="6" fillId="4" borderId="0" xfId="1" applyNumberFormat="1" applyFont="1" applyFill="1" applyBorder="1" applyAlignment="1" applyProtection="1">
      <alignment horizontal="center"/>
      <protection hidden="1"/>
    </xf>
    <xf numFmtId="43" fontId="6" fillId="2" borderId="0" xfId="1" applyNumberFormat="1" applyFont="1" applyFill="1" applyBorder="1" applyAlignment="1" applyProtection="1">
      <alignment horizontal="center" vertical="center"/>
      <protection hidden="1"/>
    </xf>
    <xf numFmtId="43" fontId="6" fillId="2" borderId="0" xfId="1" applyNumberFormat="1" applyFont="1" applyFill="1" applyBorder="1" applyAlignment="1" applyProtection="1">
      <alignment horizontal="right"/>
      <protection hidden="1"/>
    </xf>
    <xf numFmtId="165" fontId="6" fillId="2" borderId="0" xfId="1" applyNumberFormat="1" applyFont="1" applyFill="1" applyAlignment="1" applyProtection="1">
      <alignment horizontal="center"/>
      <protection hidden="1"/>
    </xf>
    <xf numFmtId="0" fontId="10" fillId="4" borderId="2"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protection hidden="1"/>
    </xf>
    <xf numFmtId="165" fontId="10" fillId="2" borderId="0" xfId="1" applyNumberFormat="1" applyFont="1" applyFill="1" applyAlignment="1" applyProtection="1">
      <alignment horizontal="right" vertical="center"/>
      <protection hidden="1"/>
    </xf>
    <xf numFmtId="43" fontId="6" fillId="4" borderId="0" xfId="1" applyNumberFormat="1" applyFont="1" applyFill="1" applyAlignment="1" applyProtection="1">
      <alignment horizontal="center"/>
      <protection hidden="1"/>
    </xf>
    <xf numFmtId="0" fontId="10" fillId="4" borderId="8" xfId="0" applyFont="1" applyFill="1" applyBorder="1" applyAlignment="1" applyProtection="1">
      <alignment horizontal="center" vertical="center"/>
      <protection hidden="1"/>
    </xf>
    <xf numFmtId="0" fontId="10" fillId="4" borderId="21" xfId="0" applyFont="1" applyFill="1" applyBorder="1" applyAlignment="1" applyProtection="1">
      <alignment horizontal="center" vertical="center"/>
      <protection hidden="1"/>
    </xf>
    <xf numFmtId="0" fontId="41" fillId="2" borderId="25" xfId="0" applyFont="1" applyFill="1" applyBorder="1" applyAlignment="1" applyProtection="1">
      <alignment horizontal="center"/>
      <protection hidden="1"/>
    </xf>
    <xf numFmtId="0" fontId="41" fillId="2" borderId="18" xfId="0" applyFont="1" applyFill="1" applyBorder="1" applyAlignment="1" applyProtection="1">
      <alignment horizontal="center"/>
      <protection hidden="1"/>
    </xf>
    <xf numFmtId="0" fontId="41" fillId="2" borderId="26" xfId="0" applyFont="1" applyFill="1" applyBorder="1" applyAlignment="1" applyProtection="1">
      <alignment horizontal="center"/>
      <protection hidden="1"/>
    </xf>
    <xf numFmtId="165" fontId="6" fillId="0" borderId="0" xfId="1" applyNumberFormat="1" applyFont="1" applyAlignment="1" applyProtection="1">
      <alignment horizontal="center"/>
    </xf>
    <xf numFmtId="165" fontId="6" fillId="0" borderId="0" xfId="1" applyNumberFormat="1" applyFont="1" applyBorder="1" applyAlignment="1" applyProtection="1">
      <alignment horizontal="center"/>
    </xf>
    <xf numFmtId="0" fontId="19" fillId="2" borderId="0" xfId="0" applyFont="1" applyFill="1" applyAlignment="1" applyProtection="1">
      <alignment horizontal="left" vertical="center" wrapText="1"/>
      <protection hidden="1"/>
    </xf>
    <xf numFmtId="0" fontId="19" fillId="2" borderId="0" xfId="0" applyFont="1" applyFill="1" applyAlignment="1" applyProtection="1">
      <alignment horizontal="left" wrapText="1"/>
      <protection hidden="1"/>
    </xf>
    <xf numFmtId="0" fontId="0" fillId="0" borderId="0" xfId="0" applyAlignment="1" applyProtection="1">
      <alignment horizontal="center"/>
    </xf>
    <xf numFmtId="0" fontId="32" fillId="2" borderId="0" xfId="0" applyFont="1" applyFill="1" applyAlignment="1" applyProtection="1">
      <alignment horizontal="left" vertical="center" wrapText="1"/>
    </xf>
    <xf numFmtId="165" fontId="6" fillId="3" borderId="0" xfId="1" applyNumberFormat="1" applyFont="1" applyFill="1" applyBorder="1" applyAlignment="1" applyProtection="1">
      <alignment horizontal="center"/>
    </xf>
    <xf numFmtId="43" fontId="6" fillId="0" borderId="0" xfId="1" applyNumberFormat="1" applyFont="1" applyFill="1" applyBorder="1" applyAlignment="1" applyProtection="1">
      <alignment horizontal="center"/>
    </xf>
    <xf numFmtId="165" fontId="6" fillId="0" borderId="0" xfId="1" applyNumberFormat="1" applyFont="1" applyFill="1" applyBorder="1" applyAlignment="1" applyProtection="1">
      <alignment horizontal="center"/>
    </xf>
    <xf numFmtId="0" fontId="10" fillId="0" borderId="2" xfId="0" applyFont="1" applyBorder="1" applyAlignment="1" applyProtection="1">
      <alignment horizontal="center" vertical="center" wrapText="1"/>
    </xf>
    <xf numFmtId="165" fontId="10" fillId="0" borderId="0" xfId="1" applyNumberFormat="1" applyFont="1" applyAlignment="1" applyProtection="1">
      <alignment horizontal="center" vertical="center"/>
    </xf>
    <xf numFmtId="165" fontId="6" fillId="0" borderId="0" xfId="1" applyNumberFormat="1" applyFont="1" applyBorder="1" applyAlignment="1" applyProtection="1">
      <alignment horizontal="right"/>
    </xf>
    <xf numFmtId="165" fontId="10" fillId="3" borderId="6" xfId="1" applyNumberFormat="1" applyFont="1" applyFill="1" applyBorder="1" applyAlignment="1" applyProtection="1">
      <alignment horizontal="center"/>
    </xf>
    <xf numFmtId="0" fontId="10" fillId="0" borderId="2" xfId="0" applyFont="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41" fillId="0" borderId="25" xfId="0" applyFont="1" applyBorder="1" applyAlignment="1" applyProtection="1">
      <alignment horizontal="center"/>
      <protection hidden="1"/>
    </xf>
    <xf numFmtId="0" fontId="41" fillId="0" borderId="18" xfId="0" applyFont="1" applyBorder="1" applyAlignment="1" applyProtection="1">
      <alignment horizontal="center"/>
      <protection hidden="1"/>
    </xf>
    <xf numFmtId="0" fontId="41" fillId="0" borderId="26" xfId="0" applyFont="1" applyBorder="1" applyAlignment="1" applyProtection="1">
      <alignment horizontal="center"/>
      <protection hidden="1"/>
    </xf>
    <xf numFmtId="165" fontId="6" fillId="0" borderId="0" xfId="1" applyNumberFormat="1" applyFont="1" applyAlignment="1" applyProtection="1">
      <alignment horizontal="center"/>
      <protection hidden="1"/>
    </xf>
    <xf numFmtId="43" fontId="6" fillId="0" borderId="7" xfId="1" applyNumberFormat="1" applyFont="1" applyBorder="1" applyAlignment="1" applyProtection="1">
      <alignment horizontal="center"/>
      <protection hidden="1"/>
    </xf>
    <xf numFmtId="43" fontId="6" fillId="0" borderId="0" xfId="1" applyNumberFormat="1" applyFont="1" applyBorder="1" applyAlignment="1" applyProtection="1">
      <alignment horizontal="right"/>
      <protection hidden="1"/>
    </xf>
    <xf numFmtId="43" fontId="6" fillId="0" borderId="0" xfId="1" applyNumberFormat="1" applyFont="1" applyBorder="1" applyAlignment="1" applyProtection="1">
      <alignment horizontal="center"/>
      <protection hidden="1"/>
    </xf>
    <xf numFmtId="43" fontId="6" fillId="0" borderId="0" xfId="1" applyNumberFormat="1" applyFont="1" applyFill="1" applyBorder="1" applyAlignment="1" applyProtection="1">
      <alignment horizontal="center"/>
      <protection hidden="1"/>
    </xf>
    <xf numFmtId="0" fontId="10" fillId="0" borderId="0" xfId="0" applyFont="1" applyAlignment="1" applyProtection="1">
      <alignment horizontal="center"/>
      <protection hidden="1"/>
    </xf>
    <xf numFmtId="165" fontId="10" fillId="0" borderId="18" xfId="1" applyNumberFormat="1" applyFont="1" applyBorder="1" applyAlignment="1" applyProtection="1">
      <alignment horizontal="center"/>
      <protection hidden="1"/>
    </xf>
    <xf numFmtId="0" fontId="0" fillId="0" borderId="44"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65" fontId="6" fillId="0" borderId="2" xfId="1" applyNumberFormat="1" applyFont="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165" fontId="6" fillId="0" borderId="45" xfId="1" applyNumberFormat="1" applyFont="1" applyBorder="1" applyAlignment="1" applyProtection="1">
      <alignment horizontal="center" vertical="center"/>
      <protection hidden="1"/>
    </xf>
    <xf numFmtId="0" fontId="10" fillId="3" borderId="46" xfId="0" applyFont="1" applyFill="1" applyBorder="1" applyAlignment="1" applyProtection="1">
      <alignment horizontal="center" vertical="center"/>
      <protection hidden="1"/>
    </xf>
    <xf numFmtId="0" fontId="10" fillId="3" borderId="21"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protection hidden="1"/>
    </xf>
    <xf numFmtId="165" fontId="0" fillId="0" borderId="45" xfId="0" applyNumberFormat="1" applyBorder="1" applyAlignment="1" applyProtection="1">
      <alignment horizontal="center" vertical="center"/>
      <protection hidden="1"/>
    </xf>
    <xf numFmtId="0" fontId="0" fillId="0" borderId="0" xfId="0" applyAlignment="1" applyProtection="1">
      <alignment horizontal="center"/>
      <protection hidden="1"/>
    </xf>
    <xf numFmtId="0" fontId="10" fillId="3" borderId="8" xfId="0" applyFont="1" applyFill="1" applyBorder="1" applyAlignment="1">
      <alignment horizontal="center" vertical="center"/>
    </xf>
    <xf numFmtId="0" fontId="10" fillId="3" borderId="21" xfId="0" applyFont="1" applyFill="1" applyBorder="1" applyAlignment="1">
      <alignment horizontal="center" vertical="center"/>
    </xf>
    <xf numFmtId="43" fontId="0" fillId="0" borderId="2" xfId="0" applyNumberFormat="1" applyBorder="1" applyAlignment="1">
      <alignment horizontal="center" vertical="center"/>
    </xf>
    <xf numFmtId="0" fontId="10" fillId="0" borderId="18" xfId="0" applyFont="1" applyBorder="1" applyAlignment="1">
      <alignment horizontal="center" vertical="center"/>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xf>
    <xf numFmtId="43" fontId="6" fillId="0" borderId="2" xfId="1" applyNumberFormat="1"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10" fillId="0" borderId="2" xfId="0" applyFont="1" applyBorder="1" applyAlignment="1">
      <alignment horizontal="center" vertical="center" wrapText="1"/>
    </xf>
    <xf numFmtId="0" fontId="10" fillId="0" borderId="18" xfId="0" applyFont="1" applyBorder="1" applyAlignment="1" applyProtection="1">
      <alignment horizontal="center" vertical="center"/>
    </xf>
    <xf numFmtId="43" fontId="0" fillId="0" borderId="8" xfId="0" applyNumberFormat="1" applyBorder="1" applyAlignment="1" applyProtection="1">
      <alignment horizontal="center" vertical="center"/>
    </xf>
    <xf numFmtId="43" fontId="0" fillId="0" borderId="21" xfId="0" applyNumberFormat="1" applyBorder="1" applyAlignment="1" applyProtection="1">
      <alignment horizontal="center" vertical="center"/>
    </xf>
    <xf numFmtId="43" fontId="0" fillId="0" borderId="2" xfId="0" applyNumberForma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21" xfId="0" applyFont="1" applyBorder="1" applyAlignment="1" applyProtection="1">
      <alignment horizontal="center" vertical="center"/>
    </xf>
    <xf numFmtId="43" fontId="6" fillId="0" borderId="2" xfId="1" applyNumberFormat="1" applyFont="1" applyBorder="1" applyAlignment="1" applyProtection="1">
      <alignment horizontal="center" vertical="center"/>
    </xf>
    <xf numFmtId="43" fontId="6" fillId="0" borderId="8" xfId="1" applyNumberFormat="1" applyFont="1" applyBorder="1" applyAlignment="1">
      <alignment horizontal="center"/>
    </xf>
    <xf numFmtId="43" fontId="6" fillId="0" borderId="21" xfId="1" applyNumberFormat="1" applyFont="1" applyBorder="1" applyAlignment="1">
      <alignment horizontal="center"/>
    </xf>
    <xf numFmtId="43" fontId="6" fillId="0" borderId="2" xfId="1" applyNumberFormat="1" applyFont="1" applyBorder="1" applyAlignment="1">
      <alignment horizontal="center"/>
    </xf>
  </cellXfs>
  <cellStyles count="5">
    <cellStyle name="Comma" xfId="1" builtinId="3"/>
    <cellStyle name="Hyperlink" xfId="2" builtinId="8"/>
    <cellStyle name="Normal" xfId="0" builtinId="0"/>
    <cellStyle name="Normal 2" xfId="3" xr:uid="{00000000-0005-0000-0000-000003000000}"/>
    <cellStyle name="Percent" xfId="4" builtinId="5"/>
  </cellStyles>
  <dxfs count="3">
    <dxf>
      <font>
        <color rgb="FF9C0006"/>
      </font>
      <fill>
        <patternFill>
          <bgColor rgb="FFFFC7CE"/>
        </patternFill>
      </fill>
    </dxf>
    <dxf>
      <fill>
        <patternFill>
          <bgColor rgb="FFFF0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2</xdr:col>
      <xdr:colOff>466725</xdr:colOff>
      <xdr:row>6</xdr:row>
      <xdr:rowOff>190500</xdr:rowOff>
    </xdr:to>
    <xdr:pic>
      <xdr:nvPicPr>
        <xdr:cNvPr id="1097" name="Picture 1">
          <a:extLst>
            <a:ext uri="{FF2B5EF4-FFF2-40B4-BE49-F238E27FC236}">
              <a16:creationId xmlns:a16="http://schemas.microsoft.com/office/drawing/2014/main" id="{3E140008-D310-44D3-A6D7-8CFFFD6B00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9525" y="9525"/>
          <a:ext cx="22002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657225</xdr:colOff>
      <xdr:row>5</xdr:row>
      <xdr:rowOff>0</xdr:rowOff>
    </xdr:to>
    <xdr:pic>
      <xdr:nvPicPr>
        <xdr:cNvPr id="10254" name="Picture 1">
          <a:extLst>
            <a:ext uri="{FF2B5EF4-FFF2-40B4-BE49-F238E27FC236}">
              <a16:creationId xmlns:a16="http://schemas.microsoft.com/office/drawing/2014/main" id="{74A147EE-4A3F-43FC-BAB3-341B39C32F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52450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11278" name="Picture 1">
          <a:extLst>
            <a:ext uri="{FF2B5EF4-FFF2-40B4-BE49-F238E27FC236}">
              <a16:creationId xmlns:a16="http://schemas.microsoft.com/office/drawing/2014/main" id="{CBA71302-DBF4-4685-9280-A7B56078CB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12302" name="Picture 1">
          <a:extLst>
            <a:ext uri="{FF2B5EF4-FFF2-40B4-BE49-F238E27FC236}">
              <a16:creationId xmlns:a16="http://schemas.microsoft.com/office/drawing/2014/main" id="{629A1327-F486-4300-A3D7-3C11CED3DC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13326" name="Picture 1">
          <a:extLst>
            <a:ext uri="{FF2B5EF4-FFF2-40B4-BE49-F238E27FC236}">
              <a16:creationId xmlns:a16="http://schemas.microsoft.com/office/drawing/2014/main" id="{A7931A5E-3EA1-447C-AC2C-A0D92AEB60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1428750</xdr:colOff>
      <xdr:row>0</xdr:row>
      <xdr:rowOff>0</xdr:rowOff>
    </xdr:from>
    <xdr:to>
      <xdr:col>4</xdr:col>
      <xdr:colOff>2781300</xdr:colOff>
      <xdr:row>3</xdr:row>
      <xdr:rowOff>161925</xdr:rowOff>
    </xdr:to>
    <xdr:pic>
      <xdr:nvPicPr>
        <xdr:cNvPr id="14350" name="Picture 2">
          <a:extLst>
            <a:ext uri="{FF2B5EF4-FFF2-40B4-BE49-F238E27FC236}">
              <a16:creationId xmlns:a16="http://schemas.microsoft.com/office/drawing/2014/main" id="{50940A4F-40F3-444A-ADDE-EE7D214D33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0"/>
          <a:ext cx="13525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876300</xdr:colOff>
      <xdr:row>0</xdr:row>
      <xdr:rowOff>19050</xdr:rowOff>
    </xdr:from>
    <xdr:to>
      <xdr:col>4</xdr:col>
      <xdr:colOff>1352550</xdr:colOff>
      <xdr:row>3</xdr:row>
      <xdr:rowOff>57150</xdr:rowOff>
    </xdr:to>
    <xdr:pic>
      <xdr:nvPicPr>
        <xdr:cNvPr id="15374" name="Picture 3">
          <a:extLst>
            <a:ext uri="{FF2B5EF4-FFF2-40B4-BE49-F238E27FC236}">
              <a16:creationId xmlns:a16="http://schemas.microsoft.com/office/drawing/2014/main" id="{F9E1795F-1160-4411-AC98-78C837BBDE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19050"/>
          <a:ext cx="13525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1038225</xdr:colOff>
      <xdr:row>0</xdr:row>
      <xdr:rowOff>9525</xdr:rowOff>
    </xdr:from>
    <xdr:to>
      <xdr:col>4</xdr:col>
      <xdr:colOff>1352550</xdr:colOff>
      <xdr:row>3</xdr:row>
      <xdr:rowOff>47625</xdr:rowOff>
    </xdr:to>
    <xdr:pic>
      <xdr:nvPicPr>
        <xdr:cNvPr id="16398" name="Picture 2">
          <a:extLst>
            <a:ext uri="{FF2B5EF4-FFF2-40B4-BE49-F238E27FC236}">
              <a16:creationId xmlns:a16="http://schemas.microsoft.com/office/drawing/2014/main" id="{DE2C076C-2735-4BD6-9CA6-36A0DA716E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9525"/>
          <a:ext cx="13525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923925</xdr:colOff>
      <xdr:row>0</xdr:row>
      <xdr:rowOff>0</xdr:rowOff>
    </xdr:from>
    <xdr:to>
      <xdr:col>5</xdr:col>
      <xdr:colOff>47625</xdr:colOff>
      <xdr:row>3</xdr:row>
      <xdr:rowOff>95250</xdr:rowOff>
    </xdr:to>
    <xdr:pic>
      <xdr:nvPicPr>
        <xdr:cNvPr id="17422" name="Picture 2">
          <a:extLst>
            <a:ext uri="{FF2B5EF4-FFF2-40B4-BE49-F238E27FC236}">
              <a16:creationId xmlns:a16="http://schemas.microsoft.com/office/drawing/2014/main" id="{94BCA42E-7982-4410-AD39-BC30657C3C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0"/>
          <a:ext cx="14382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790575</xdr:colOff>
      <xdr:row>0</xdr:row>
      <xdr:rowOff>0</xdr:rowOff>
    </xdr:from>
    <xdr:to>
      <xdr:col>4</xdr:col>
      <xdr:colOff>1285875</xdr:colOff>
      <xdr:row>3</xdr:row>
      <xdr:rowOff>304800</xdr:rowOff>
    </xdr:to>
    <xdr:pic>
      <xdr:nvPicPr>
        <xdr:cNvPr id="18446" name="Picture 2">
          <a:extLst>
            <a:ext uri="{FF2B5EF4-FFF2-40B4-BE49-F238E27FC236}">
              <a16:creationId xmlns:a16="http://schemas.microsoft.com/office/drawing/2014/main" id="{FC7EA26B-EC90-4BB1-8D4D-609EEC25EF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15430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38100</xdr:colOff>
      <xdr:row>0</xdr:row>
      <xdr:rowOff>0</xdr:rowOff>
    </xdr:from>
    <xdr:to>
      <xdr:col>5</xdr:col>
      <xdr:colOff>47625</xdr:colOff>
      <xdr:row>3</xdr:row>
      <xdr:rowOff>209550</xdr:rowOff>
    </xdr:to>
    <xdr:pic>
      <xdr:nvPicPr>
        <xdr:cNvPr id="19470" name="Picture 3">
          <a:extLst>
            <a:ext uri="{FF2B5EF4-FFF2-40B4-BE49-F238E27FC236}">
              <a16:creationId xmlns:a16="http://schemas.microsoft.com/office/drawing/2014/main" id="{EC54890B-FCDB-4587-BB9E-FE7F16FB52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2475" y="0"/>
          <a:ext cx="14001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762000</xdr:colOff>
      <xdr:row>0</xdr:row>
      <xdr:rowOff>28575</xdr:rowOff>
    </xdr:from>
    <xdr:to>
      <xdr:col>8</xdr:col>
      <xdr:colOff>3714750</xdr:colOff>
      <xdr:row>6</xdr:row>
      <xdr:rowOff>85725</xdr:rowOff>
    </xdr:to>
    <xdr:pic>
      <xdr:nvPicPr>
        <xdr:cNvPr id="2062" name="Picture 1">
          <a:extLst>
            <a:ext uri="{FF2B5EF4-FFF2-40B4-BE49-F238E27FC236}">
              <a16:creationId xmlns:a16="http://schemas.microsoft.com/office/drawing/2014/main" id="{2CAFF159-A638-4649-99A6-A65FBD3924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7439025" y="28575"/>
          <a:ext cx="29527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3086" name="Picture 1">
          <a:extLst>
            <a:ext uri="{FF2B5EF4-FFF2-40B4-BE49-F238E27FC236}">
              <a16:creationId xmlns:a16="http://schemas.microsoft.com/office/drawing/2014/main" id="{066C4CDD-C83F-4D9C-BED3-DE337D3550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4110" name="Picture 1">
          <a:extLst>
            <a:ext uri="{FF2B5EF4-FFF2-40B4-BE49-F238E27FC236}">
              <a16:creationId xmlns:a16="http://schemas.microsoft.com/office/drawing/2014/main" id="{241D863E-AF17-4F27-96E8-A73180AD26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914400</xdr:colOff>
      <xdr:row>0</xdr:row>
      <xdr:rowOff>0</xdr:rowOff>
    </xdr:from>
    <xdr:to>
      <xdr:col>6</xdr:col>
      <xdr:colOff>1247775</xdr:colOff>
      <xdr:row>7</xdr:row>
      <xdr:rowOff>104775</xdr:rowOff>
    </xdr:to>
    <xdr:pic>
      <xdr:nvPicPr>
        <xdr:cNvPr id="5134" name="Picture 2">
          <a:extLst>
            <a:ext uri="{FF2B5EF4-FFF2-40B4-BE49-F238E27FC236}">
              <a16:creationId xmlns:a16="http://schemas.microsoft.com/office/drawing/2014/main" id="{72C4F903-9A2D-4109-9A66-C17956A576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0"/>
          <a:ext cx="22098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57150</xdr:colOff>
      <xdr:row>0</xdr:row>
      <xdr:rowOff>38100</xdr:rowOff>
    </xdr:from>
    <xdr:to>
      <xdr:col>6</xdr:col>
      <xdr:colOff>1247775</xdr:colOff>
      <xdr:row>7</xdr:row>
      <xdr:rowOff>85725</xdr:rowOff>
    </xdr:to>
    <xdr:pic>
      <xdr:nvPicPr>
        <xdr:cNvPr id="6158" name="Picture 2">
          <a:extLst>
            <a:ext uri="{FF2B5EF4-FFF2-40B4-BE49-F238E27FC236}">
              <a16:creationId xmlns:a16="http://schemas.microsoft.com/office/drawing/2014/main" id="{7125FE47-8763-40C9-993D-5937468ADC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38100"/>
          <a:ext cx="21145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104775</xdr:colOff>
      <xdr:row>0</xdr:row>
      <xdr:rowOff>47625</xdr:rowOff>
    </xdr:from>
    <xdr:to>
      <xdr:col>6</xdr:col>
      <xdr:colOff>1190625</xdr:colOff>
      <xdr:row>7</xdr:row>
      <xdr:rowOff>19050</xdr:rowOff>
    </xdr:to>
    <xdr:pic>
      <xdr:nvPicPr>
        <xdr:cNvPr id="7182" name="Picture 2">
          <a:extLst>
            <a:ext uri="{FF2B5EF4-FFF2-40B4-BE49-F238E27FC236}">
              <a16:creationId xmlns:a16="http://schemas.microsoft.com/office/drawing/2014/main" id="{BEC204E4-DC02-444C-9069-4B83DB170A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47625"/>
          <a:ext cx="20097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0</xdr:row>
      <xdr:rowOff>47625</xdr:rowOff>
    </xdr:from>
    <xdr:to>
      <xdr:col>6</xdr:col>
      <xdr:colOff>1181100</xdr:colOff>
      <xdr:row>7</xdr:row>
      <xdr:rowOff>85725</xdr:rowOff>
    </xdr:to>
    <xdr:pic>
      <xdr:nvPicPr>
        <xdr:cNvPr id="8206" name="Picture 2">
          <a:extLst>
            <a:ext uri="{FF2B5EF4-FFF2-40B4-BE49-F238E27FC236}">
              <a16:creationId xmlns:a16="http://schemas.microsoft.com/office/drawing/2014/main" id="{270295D3-B311-4DC0-985C-B78C838833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47625"/>
          <a:ext cx="21050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123825</xdr:colOff>
      <xdr:row>0</xdr:row>
      <xdr:rowOff>57150</xdr:rowOff>
    </xdr:from>
    <xdr:to>
      <xdr:col>6</xdr:col>
      <xdr:colOff>1190625</xdr:colOff>
      <xdr:row>7</xdr:row>
      <xdr:rowOff>19050</xdr:rowOff>
    </xdr:to>
    <xdr:pic>
      <xdr:nvPicPr>
        <xdr:cNvPr id="9230" name="Picture 2">
          <a:extLst>
            <a:ext uri="{FF2B5EF4-FFF2-40B4-BE49-F238E27FC236}">
              <a16:creationId xmlns:a16="http://schemas.microsoft.com/office/drawing/2014/main" id="{C58BFA8E-0EAA-4D6C-AAF3-E21C3A0783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57150"/>
          <a:ext cx="199072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nj-my.sharepoint.com/Users/sofia.palmiano/Desktop/CDHI/1.%20FREIA/REPORTS/INVENTORY%20REPORT/FREA%20Inventory%20Report%20as%20of%20MARCH%2016,%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J2">
            <v>23030000</v>
          </cell>
        </row>
        <row r="3">
          <cell r="J3">
            <v>13980000</v>
          </cell>
        </row>
        <row r="4">
          <cell r="J4">
            <v>9060000</v>
          </cell>
        </row>
        <row r="5">
          <cell r="J5">
            <v>13980000</v>
          </cell>
        </row>
        <row r="6">
          <cell r="J6">
            <v>9370000</v>
          </cell>
        </row>
        <row r="7">
          <cell r="J7">
            <v>14010000</v>
          </cell>
        </row>
        <row r="8">
          <cell r="J8">
            <v>11670000</v>
          </cell>
        </row>
        <row r="9">
          <cell r="J9">
            <v>11640000</v>
          </cell>
        </row>
        <row r="10">
          <cell r="J10">
            <v>11640000</v>
          </cell>
        </row>
        <row r="11">
          <cell r="J11">
            <v>11640000</v>
          </cell>
        </row>
        <row r="12">
          <cell r="J12">
            <v>15410000</v>
          </cell>
        </row>
        <row r="13">
          <cell r="J13">
            <v>21220000</v>
          </cell>
        </row>
        <row r="14">
          <cell r="J14">
            <v>12770000</v>
          </cell>
        </row>
        <row r="15">
          <cell r="J15">
            <v>8710000</v>
          </cell>
        </row>
        <row r="16">
          <cell r="J16">
            <v>13160000</v>
          </cell>
        </row>
        <row r="17">
          <cell r="J17">
            <v>8740000</v>
          </cell>
        </row>
        <row r="18">
          <cell r="J18">
            <v>13180000</v>
          </cell>
        </row>
        <row r="19">
          <cell r="J19">
            <v>9530000</v>
          </cell>
        </row>
        <row r="20">
          <cell r="J20">
            <v>10960000</v>
          </cell>
        </row>
        <row r="21">
          <cell r="J21">
            <v>9500000</v>
          </cell>
        </row>
        <row r="22">
          <cell r="J22">
            <v>10960000</v>
          </cell>
        </row>
        <row r="23">
          <cell r="J23">
            <v>8650000</v>
          </cell>
        </row>
        <row r="24">
          <cell r="J24">
            <v>10960000</v>
          </cell>
        </row>
        <row r="25">
          <cell r="J25">
            <v>8680000</v>
          </cell>
        </row>
        <row r="26">
          <cell r="J26">
            <v>10970000</v>
          </cell>
        </row>
        <row r="27">
          <cell r="J27">
            <v>8360000</v>
          </cell>
        </row>
        <row r="28">
          <cell r="J28">
            <v>10890000</v>
          </cell>
        </row>
        <row r="29">
          <cell r="J29">
            <v>8260000</v>
          </cell>
        </row>
        <row r="30">
          <cell r="J30">
            <v>10890000</v>
          </cell>
        </row>
        <row r="31">
          <cell r="J31">
            <v>8260000</v>
          </cell>
        </row>
        <row r="32">
          <cell r="J32">
            <v>10890000</v>
          </cell>
        </row>
        <row r="33">
          <cell r="J33">
            <v>10890000</v>
          </cell>
        </row>
        <row r="34">
          <cell r="J34">
            <v>14370000</v>
          </cell>
        </row>
        <row r="35">
          <cell r="J35">
            <v>22000000</v>
          </cell>
        </row>
        <row r="36">
          <cell r="J36">
            <v>13240000</v>
          </cell>
        </row>
        <row r="37">
          <cell r="J37">
            <v>8510000</v>
          </cell>
        </row>
        <row r="38">
          <cell r="J38">
            <v>13240000</v>
          </cell>
        </row>
        <row r="39">
          <cell r="J39">
            <v>8800000</v>
          </cell>
        </row>
        <row r="40">
          <cell r="J40">
            <v>13260000</v>
          </cell>
        </row>
        <row r="41">
          <cell r="J41">
            <v>9600000</v>
          </cell>
        </row>
        <row r="42">
          <cell r="J42">
            <v>11030000</v>
          </cell>
        </row>
        <row r="43">
          <cell r="J43">
            <v>9560000</v>
          </cell>
        </row>
        <row r="44">
          <cell r="J44">
            <v>11030000</v>
          </cell>
        </row>
        <row r="45">
          <cell r="J45">
            <v>8710000</v>
          </cell>
        </row>
        <row r="46">
          <cell r="J46">
            <v>11030000</v>
          </cell>
        </row>
        <row r="47">
          <cell r="J47">
            <v>8740000</v>
          </cell>
        </row>
        <row r="48">
          <cell r="J48">
            <v>11050000</v>
          </cell>
        </row>
        <row r="49">
          <cell r="J49">
            <v>8680000</v>
          </cell>
        </row>
        <row r="50">
          <cell r="J50">
            <v>10960000</v>
          </cell>
        </row>
        <row r="51">
          <cell r="J51">
            <v>8330000</v>
          </cell>
        </row>
        <row r="52">
          <cell r="J52">
            <v>10960000</v>
          </cell>
        </row>
        <row r="53">
          <cell r="J53">
            <v>8330000</v>
          </cell>
        </row>
        <row r="54">
          <cell r="J54">
            <v>10960000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sheetPr>
  <dimension ref="A1:AI86"/>
  <sheetViews>
    <sheetView showGridLines="0" topLeftCell="A3" zoomScale="85" zoomScaleNormal="85" workbookViewId="0">
      <pane xSplit="9" ySplit="7" topLeftCell="J10" activePane="bottomRight" state="frozen"/>
      <selection activeCell="D11" sqref="D11:E11"/>
      <selection pane="topRight" activeCell="D11" sqref="D11:E11"/>
      <selection pane="bottomLeft" activeCell="D11" sqref="D11:E11"/>
      <selection pane="bottomRight" activeCell="A19" sqref="A19"/>
    </sheetView>
  </sheetViews>
  <sheetFormatPr baseColWidth="10" defaultColWidth="0" defaultRowHeight="15" outlineLevelCol="1" x14ac:dyDescent="0.2"/>
  <cols>
    <col min="1" max="1" width="14.83203125" style="360" bestFit="1" customWidth="1"/>
    <col min="2" max="2" width="11.33203125" style="360" bestFit="1" customWidth="1"/>
    <col min="3" max="3" width="11.33203125" style="1" bestFit="1" customWidth="1"/>
    <col min="4" max="5" width="13.5" style="1" customWidth="1"/>
    <col min="6" max="6" width="13.5" style="1" hidden="1" customWidth="1" outlineLevel="1"/>
    <col min="7" max="7" width="13.5" style="1" customWidth="1" collapsed="1"/>
    <col min="8" max="8" width="26.1640625" style="1" customWidth="1"/>
    <col min="9" max="9" width="12.1640625" style="391" bestFit="1" customWidth="1"/>
    <col min="10" max="10" width="22.6640625" style="1" bestFit="1" customWidth="1"/>
    <col min="11" max="11" width="17.5" style="1" bestFit="1" customWidth="1"/>
    <col min="12" max="12" width="15.1640625" style="1" bestFit="1" customWidth="1"/>
    <col min="13" max="13" width="10.5" style="1" bestFit="1" customWidth="1"/>
    <col min="14" max="14" width="20.5" style="1" bestFit="1" customWidth="1"/>
    <col min="15" max="15" width="22.1640625" style="1" bestFit="1" customWidth="1"/>
    <col min="16" max="16" width="21.6640625" style="1" bestFit="1" customWidth="1"/>
    <col min="17" max="17" width="17.83203125" style="308" bestFit="1" customWidth="1"/>
    <col min="18" max="18" width="20.5" style="1" bestFit="1" customWidth="1"/>
    <col min="19" max="19" width="11.6640625" style="1" bestFit="1" customWidth="1"/>
    <col min="20" max="20" width="12.33203125" style="1" bestFit="1" customWidth="1"/>
    <col min="21" max="21" width="11.6640625" style="1" bestFit="1" customWidth="1"/>
    <col min="22" max="22" width="3.5" style="1" bestFit="1" customWidth="1"/>
    <col min="23" max="23" width="9.5" style="1" bestFit="1" customWidth="1"/>
    <col min="24" max="24" width="10.5" style="274" customWidth="1"/>
    <col min="25" max="26" width="10.5" style="1" customWidth="1"/>
    <col min="27" max="27" width="11.5" style="1" customWidth="1"/>
    <col min="28" max="35" width="9.1640625" style="1" customWidth="1"/>
    <col min="36" max="16384" width="9.1640625" style="1" hidden="1"/>
  </cols>
  <sheetData>
    <row r="1" spans="1:24" ht="16" hidden="1" thickBot="1" x14ac:dyDescent="0.25">
      <c r="Q1" s="1"/>
    </row>
    <row r="2" spans="1:24" ht="16" hidden="1" thickBot="1" x14ac:dyDescent="0.25">
      <c r="Q2" s="1"/>
    </row>
    <row r="3" spans="1:24" x14ac:dyDescent="0.2">
      <c r="J3" s="355" t="s">
        <v>511</v>
      </c>
      <c r="K3" s="356">
        <f>COUNTIF($A$10:$A$62,"*booked*")</f>
        <v>0</v>
      </c>
      <c r="L3" s="366" t="s">
        <v>516</v>
      </c>
      <c r="M3" s="635">
        <f>COUNTA(C10:C62)</f>
        <v>53</v>
      </c>
      <c r="N3" s="637"/>
      <c r="Q3" s="1"/>
    </row>
    <row r="4" spans="1:24" x14ac:dyDescent="0.2">
      <c r="J4" s="354" t="s">
        <v>512</v>
      </c>
      <c r="K4" s="349">
        <f>COUNTIF($A$10:$A$62,"*Reserved*")</f>
        <v>0</v>
      </c>
      <c r="L4" s="367" t="s">
        <v>517</v>
      </c>
      <c r="M4" s="636"/>
      <c r="N4" s="638"/>
      <c r="Q4" s="1"/>
      <c r="V4" s="365"/>
    </row>
    <row r="5" spans="1:24" x14ac:dyDescent="0.2">
      <c r="H5" s="365"/>
      <c r="J5" s="354" t="s">
        <v>513</v>
      </c>
      <c r="K5" s="349">
        <f>COUNTIF($A$10:$A$62,"*Temporary Hold*")</f>
        <v>0</v>
      </c>
      <c r="L5" s="349">
        <v>3</v>
      </c>
      <c r="M5" s="349"/>
      <c r="N5" s="383"/>
      <c r="O5" s="363"/>
      <c r="Q5" s="1"/>
      <c r="V5" s="365"/>
      <c r="W5" s="365"/>
    </row>
    <row r="6" spans="1:24" x14ac:dyDescent="0.2">
      <c r="I6" s="391" t="s">
        <v>690</v>
      </c>
      <c r="J6" s="354" t="s">
        <v>514</v>
      </c>
      <c r="K6" s="349">
        <f>COUNTIF($A$10:$A$62,"*Management Hold*")</f>
        <v>0</v>
      </c>
      <c r="L6" s="349"/>
      <c r="M6" s="368"/>
      <c r="N6" s="384"/>
      <c r="Q6" s="1"/>
    </row>
    <row r="7" spans="1:24" ht="16" thickBot="1" x14ac:dyDescent="0.25">
      <c r="G7" s="426">
        <f>SUM(G10:G62)</f>
        <v>17201</v>
      </c>
      <c r="H7" s="365">
        <f>SUM(J10:J62)</f>
        <v>489166000</v>
      </c>
      <c r="I7" s="391" t="s">
        <v>682</v>
      </c>
      <c r="J7" s="357" t="s">
        <v>515</v>
      </c>
      <c r="K7" s="358">
        <f>COUNTIF($A$10:$A$62,"*Available*")</f>
        <v>17</v>
      </c>
      <c r="L7" s="358"/>
      <c r="M7" s="369"/>
      <c r="N7" s="359"/>
      <c r="Q7" s="1"/>
      <c r="R7" s="1">
        <v>17</v>
      </c>
      <c r="S7" s="1">
        <v>18</v>
      </c>
      <c r="T7" s="1">
        <v>19</v>
      </c>
      <c r="U7" s="1">
        <v>20</v>
      </c>
    </row>
    <row r="8" spans="1:24" s="307" customFormat="1" x14ac:dyDescent="0.2">
      <c r="A8" s="389" t="s">
        <v>700</v>
      </c>
      <c r="B8" s="416">
        <v>1</v>
      </c>
      <c r="C8" s="274">
        <f>B8+1</f>
        <v>2</v>
      </c>
      <c r="D8" s="274">
        <f t="shared" ref="D8:Q8" si="0">C8+1</f>
        <v>3</v>
      </c>
      <c r="E8" s="274">
        <f t="shared" si="0"/>
        <v>4</v>
      </c>
      <c r="F8" s="274">
        <f t="shared" si="0"/>
        <v>5</v>
      </c>
      <c r="G8" s="274">
        <f t="shared" si="0"/>
        <v>6</v>
      </c>
      <c r="H8" s="274">
        <f t="shared" si="0"/>
        <v>7</v>
      </c>
      <c r="I8" s="274">
        <f t="shared" si="0"/>
        <v>8</v>
      </c>
      <c r="J8" s="274">
        <f t="shared" si="0"/>
        <v>9</v>
      </c>
      <c r="K8" s="274">
        <f t="shared" si="0"/>
        <v>10</v>
      </c>
      <c r="L8" s="274">
        <f t="shared" si="0"/>
        <v>11</v>
      </c>
      <c r="M8" s="274">
        <f t="shared" si="0"/>
        <v>12</v>
      </c>
      <c r="N8" s="274">
        <f t="shared" si="0"/>
        <v>13</v>
      </c>
      <c r="O8" s="274">
        <f t="shared" si="0"/>
        <v>14</v>
      </c>
      <c r="P8" s="274">
        <f t="shared" si="0"/>
        <v>15</v>
      </c>
      <c r="Q8" s="274">
        <f t="shared" si="0"/>
        <v>16</v>
      </c>
      <c r="R8" s="634" t="s">
        <v>472</v>
      </c>
      <c r="S8" s="634"/>
      <c r="T8" s="634"/>
      <c r="U8" s="634"/>
      <c r="V8" s="315">
        <v>21</v>
      </c>
      <c r="W8" s="274">
        <v>22</v>
      </c>
      <c r="X8" s="274" t="s">
        <v>519</v>
      </c>
    </row>
    <row r="9" spans="1:24" ht="32" x14ac:dyDescent="0.2">
      <c r="A9" s="361" t="s">
        <v>95</v>
      </c>
      <c r="B9" s="624" t="s">
        <v>688</v>
      </c>
      <c r="C9" s="21" t="s">
        <v>689</v>
      </c>
      <c r="D9" s="297" t="s">
        <v>534</v>
      </c>
      <c r="E9" s="297" t="s">
        <v>535</v>
      </c>
      <c r="F9" s="297" t="s">
        <v>6</v>
      </c>
      <c r="G9" s="298" t="s">
        <v>586</v>
      </c>
      <c r="H9" s="299" t="s">
        <v>701</v>
      </c>
      <c r="I9" s="299" t="s">
        <v>680</v>
      </c>
      <c r="J9" s="299" t="s">
        <v>587</v>
      </c>
      <c r="K9" s="299" t="s">
        <v>471</v>
      </c>
      <c r="L9" s="300" t="s">
        <v>133</v>
      </c>
      <c r="M9" s="300" t="s">
        <v>94</v>
      </c>
      <c r="N9" s="300" t="s">
        <v>480</v>
      </c>
      <c r="O9" s="300" t="s">
        <v>134</v>
      </c>
      <c r="P9" s="300" t="s">
        <v>135</v>
      </c>
      <c r="Q9" s="301" t="s">
        <v>479</v>
      </c>
      <c r="R9" s="295" t="s">
        <v>132</v>
      </c>
      <c r="S9" s="277" t="s">
        <v>446</v>
      </c>
      <c r="T9" s="277" t="s">
        <v>478</v>
      </c>
      <c r="U9" s="277" t="s">
        <v>446</v>
      </c>
    </row>
    <row r="10" spans="1:24" x14ac:dyDescent="0.2">
      <c r="A10" s="360" t="s">
        <v>699</v>
      </c>
      <c r="B10" s="360" t="s">
        <v>536</v>
      </c>
      <c r="C10" s="269" t="str">
        <f>"B"&amp;D10&amp;"L"&amp;E10</f>
        <v>B1L1</v>
      </c>
      <c r="D10" s="407">
        <v>1</v>
      </c>
      <c r="E10" s="408">
        <v>1</v>
      </c>
      <c r="F10" s="407"/>
      <c r="G10" s="417">
        <v>314</v>
      </c>
      <c r="H10" s="409">
        <v>27499.999999999996</v>
      </c>
      <c r="I10" s="409" t="str">
        <f>$I$6</f>
        <v>Park Lane</v>
      </c>
      <c r="J10" s="409">
        <f>H10*G10</f>
        <v>8634999.9999999981</v>
      </c>
      <c r="K10" s="409">
        <v>560000</v>
      </c>
      <c r="L10" s="410">
        <f>J10+K10</f>
        <v>9194999.9999999981</v>
      </c>
      <c r="M10" s="410">
        <f>J10*12%</f>
        <v>1036199.9999999998</v>
      </c>
      <c r="N10" s="410">
        <f>L10+M10</f>
        <v>10231199.999999998</v>
      </c>
      <c r="O10" s="410">
        <f>(L10-K10)*5%</f>
        <v>431749.99999999994</v>
      </c>
      <c r="P10" s="410">
        <f>SUM(N10:O10)</f>
        <v>10662949.999999998</v>
      </c>
      <c r="Q10" s="411" t="str">
        <f>A10</f>
        <v>Sold</v>
      </c>
      <c r="R10" s="296" t="s">
        <v>136</v>
      </c>
      <c r="S10" s="278" t="str">
        <f t="shared" ref="S10:S23" si="1">IF(R10=C10,"GOOD","ERROR")</f>
        <v>ERROR</v>
      </c>
      <c r="T10" s="279">
        <v>26374193.973749999</v>
      </c>
      <c r="U10" s="278" t="str">
        <f>IF(T10=P10,"GOOD","ERROR")</f>
        <v>ERROR</v>
      </c>
      <c r="V10" s="1" t="s">
        <v>502</v>
      </c>
      <c r="W10" s="1" t="s">
        <v>505</v>
      </c>
      <c r="X10" s="274" t="b">
        <f>J10=[1]Sheet1!J2</f>
        <v>0</v>
      </c>
    </row>
    <row r="11" spans="1:24" x14ac:dyDescent="0.2">
      <c r="A11" s="360" t="s">
        <v>699</v>
      </c>
      <c r="B11" s="360" t="s">
        <v>537</v>
      </c>
      <c r="C11" s="269" t="str">
        <f t="shared" ref="C11:C62" si="2">"B"&amp;D11&amp;"L"&amp;E11</f>
        <v>B1L2</v>
      </c>
      <c r="D11" s="407">
        <v>1</v>
      </c>
      <c r="E11" s="408">
        <v>2</v>
      </c>
      <c r="F11" s="407"/>
      <c r="G11" s="417">
        <v>301</v>
      </c>
      <c r="H11" s="409">
        <v>27499.999999999996</v>
      </c>
      <c r="I11" s="409" t="str">
        <f>$I$7</f>
        <v>Parkview</v>
      </c>
      <c r="J11" s="409">
        <f t="shared" ref="J11:J42" si="3">H11*G11</f>
        <v>8277499.9999999991</v>
      </c>
      <c r="K11" s="409">
        <v>560000</v>
      </c>
      <c r="L11" s="410">
        <f t="shared" ref="L11:L62" si="4">J11+K11</f>
        <v>8837500</v>
      </c>
      <c r="M11" s="410">
        <f t="shared" ref="M11:M62" si="5">J11*12%</f>
        <v>993299.99999999988</v>
      </c>
      <c r="N11" s="410">
        <f t="shared" ref="N11:N62" si="6">L11+M11</f>
        <v>9830800</v>
      </c>
      <c r="O11" s="410">
        <f t="shared" ref="O11:O62" si="7">(L11-K11)*5%</f>
        <v>413875</v>
      </c>
      <c r="P11" s="410">
        <f t="shared" ref="P11:P62" si="8">SUM(N11:O11)</f>
        <v>10244675</v>
      </c>
      <c r="Q11" s="411" t="str">
        <f t="shared" ref="Q11:Q62" si="9">A11</f>
        <v>Sold</v>
      </c>
      <c r="R11" s="296" t="s">
        <v>137</v>
      </c>
      <c r="S11" s="278" t="str">
        <f t="shared" si="1"/>
        <v>ERROR</v>
      </c>
      <c r="T11" s="279">
        <v>16233141.729</v>
      </c>
      <c r="U11" s="278" t="str">
        <f t="shared" ref="U11:U62" si="10">IF(T11=P11,"GOOD","ERROR")</f>
        <v>ERROR</v>
      </c>
      <c r="V11" s="1" t="s">
        <v>502</v>
      </c>
      <c r="W11" s="1" t="s">
        <v>505</v>
      </c>
      <c r="X11" s="274" t="b">
        <f>J11=[1]Sheet1!J3</f>
        <v>0</v>
      </c>
    </row>
    <row r="12" spans="1:24" ht="15" customHeight="1" x14ac:dyDescent="0.2">
      <c r="A12" s="360" t="s">
        <v>699</v>
      </c>
      <c r="B12" s="360" t="s">
        <v>538</v>
      </c>
      <c r="C12" s="269" t="str">
        <f t="shared" si="2"/>
        <v>B1L3</v>
      </c>
      <c r="D12" s="407">
        <v>1</v>
      </c>
      <c r="E12" s="408">
        <v>3</v>
      </c>
      <c r="F12" s="407"/>
      <c r="G12" s="417">
        <v>300</v>
      </c>
      <c r="H12" s="409">
        <v>27499.999999999996</v>
      </c>
      <c r="I12" s="409" t="str">
        <f>$I$7</f>
        <v>Parkview</v>
      </c>
      <c r="J12" s="409">
        <f t="shared" si="3"/>
        <v>8249999.9999999991</v>
      </c>
      <c r="K12" s="409">
        <v>560000</v>
      </c>
      <c r="L12" s="410">
        <f t="shared" si="4"/>
        <v>8810000</v>
      </c>
      <c r="M12" s="410">
        <f t="shared" si="5"/>
        <v>989999.99999999988</v>
      </c>
      <c r="N12" s="410">
        <f t="shared" si="6"/>
        <v>9800000</v>
      </c>
      <c r="O12" s="410">
        <f t="shared" si="7"/>
        <v>412500</v>
      </c>
      <c r="P12" s="410">
        <f t="shared" si="8"/>
        <v>10212500</v>
      </c>
      <c r="Q12" s="411" t="str">
        <f t="shared" si="9"/>
        <v>Sold</v>
      </c>
      <c r="R12" s="296" t="s">
        <v>138</v>
      </c>
      <c r="S12" s="278" t="str">
        <f t="shared" si="1"/>
        <v>ERROR</v>
      </c>
      <c r="T12" s="279">
        <v>11024176.835000001</v>
      </c>
      <c r="U12" s="278" t="str">
        <f t="shared" si="10"/>
        <v>ERROR</v>
      </c>
      <c r="V12" s="1" t="s">
        <v>502</v>
      </c>
      <c r="W12" s="1" t="s">
        <v>505</v>
      </c>
      <c r="X12" s="274" t="b">
        <f>J12=[1]Sheet1!J4</f>
        <v>0</v>
      </c>
    </row>
    <row r="13" spans="1:24" x14ac:dyDescent="0.2">
      <c r="A13" s="360" t="s">
        <v>699</v>
      </c>
      <c r="B13" s="360" t="s">
        <v>539</v>
      </c>
      <c r="C13" s="269" t="str">
        <f t="shared" si="2"/>
        <v>B1L5</v>
      </c>
      <c r="D13" s="407">
        <v>1</v>
      </c>
      <c r="E13" s="408">
        <v>5</v>
      </c>
      <c r="F13" s="407"/>
      <c r="G13" s="417">
        <v>301</v>
      </c>
      <c r="H13" s="409">
        <v>29999.999999999996</v>
      </c>
      <c r="I13" s="409" t="str">
        <f t="shared" ref="I13:I18" si="11">$I$7</f>
        <v>Parkview</v>
      </c>
      <c r="J13" s="409">
        <f t="shared" si="3"/>
        <v>9029999.9999999981</v>
      </c>
      <c r="K13" s="409">
        <v>560000</v>
      </c>
      <c r="L13" s="410">
        <f t="shared" si="4"/>
        <v>9589999.9999999981</v>
      </c>
      <c r="M13" s="410">
        <f t="shared" si="5"/>
        <v>1083599.9999999998</v>
      </c>
      <c r="N13" s="410">
        <f t="shared" si="6"/>
        <v>10673599.999999998</v>
      </c>
      <c r="O13" s="410">
        <f t="shared" si="7"/>
        <v>451499.99999999994</v>
      </c>
      <c r="P13" s="410">
        <f t="shared" si="8"/>
        <v>11125099.999999998</v>
      </c>
      <c r="Q13" s="411" t="str">
        <f t="shared" si="9"/>
        <v>Sold</v>
      </c>
      <c r="R13" s="296" t="s">
        <v>139</v>
      </c>
      <c r="S13" s="278" t="str">
        <f t="shared" si="1"/>
        <v>ERROR</v>
      </c>
      <c r="T13" s="279">
        <v>16233141.729</v>
      </c>
      <c r="U13" s="278" t="str">
        <f t="shared" si="10"/>
        <v>ERROR</v>
      </c>
      <c r="V13" s="1" t="s">
        <v>502</v>
      </c>
      <c r="W13" s="1" t="s">
        <v>505</v>
      </c>
      <c r="X13" s="274" t="b">
        <f>J13=[1]Sheet1!J5</f>
        <v>0</v>
      </c>
    </row>
    <row r="14" spans="1:24" x14ac:dyDescent="0.2">
      <c r="A14" s="360" t="s">
        <v>699</v>
      </c>
      <c r="B14" s="360" t="s">
        <v>540</v>
      </c>
      <c r="C14" s="269" t="str">
        <f t="shared" si="2"/>
        <v>B1L6</v>
      </c>
      <c r="D14" s="407">
        <v>1</v>
      </c>
      <c r="E14" s="408">
        <v>6</v>
      </c>
      <c r="F14" s="407"/>
      <c r="G14" s="417">
        <v>301</v>
      </c>
      <c r="H14" s="409">
        <v>29999.999999999996</v>
      </c>
      <c r="I14" s="409" t="str">
        <f t="shared" si="11"/>
        <v>Parkview</v>
      </c>
      <c r="J14" s="409">
        <f t="shared" si="3"/>
        <v>9029999.9999999981</v>
      </c>
      <c r="K14" s="409">
        <v>560000</v>
      </c>
      <c r="L14" s="410">
        <f t="shared" si="4"/>
        <v>9589999.9999999981</v>
      </c>
      <c r="M14" s="410">
        <f t="shared" si="5"/>
        <v>1083599.9999999998</v>
      </c>
      <c r="N14" s="410">
        <f t="shared" si="6"/>
        <v>10673599.999999998</v>
      </c>
      <c r="O14" s="410">
        <f t="shared" si="7"/>
        <v>451499.99999999994</v>
      </c>
      <c r="P14" s="410">
        <f t="shared" si="8"/>
        <v>11125099.999999998</v>
      </c>
      <c r="Q14" s="411" t="str">
        <f t="shared" si="9"/>
        <v>Sold</v>
      </c>
      <c r="R14" s="296" t="s">
        <v>140</v>
      </c>
      <c r="S14" s="278" t="str">
        <f t="shared" si="1"/>
        <v>ERROR</v>
      </c>
      <c r="T14" s="279">
        <v>11058887.175000001</v>
      </c>
      <c r="U14" s="278" t="str">
        <f t="shared" si="10"/>
        <v>ERROR</v>
      </c>
      <c r="V14" s="1" t="s">
        <v>502</v>
      </c>
      <c r="W14" s="1" t="s">
        <v>505</v>
      </c>
      <c r="X14" s="274" t="b">
        <f>J14=[1]Sheet1!J6</f>
        <v>0</v>
      </c>
    </row>
    <row r="15" spans="1:24" x14ac:dyDescent="0.2">
      <c r="A15" s="360" t="s">
        <v>699</v>
      </c>
      <c r="B15" s="360" t="s">
        <v>541</v>
      </c>
      <c r="C15" s="269" t="str">
        <f t="shared" si="2"/>
        <v>B1L7</v>
      </c>
      <c r="D15" s="407">
        <v>1</v>
      </c>
      <c r="E15" s="408">
        <v>7</v>
      </c>
      <c r="F15" s="407"/>
      <c r="G15" s="417">
        <v>301</v>
      </c>
      <c r="H15" s="409">
        <v>29999.999999999996</v>
      </c>
      <c r="I15" s="409" t="str">
        <f t="shared" si="11"/>
        <v>Parkview</v>
      </c>
      <c r="J15" s="409">
        <f t="shared" si="3"/>
        <v>9029999.9999999981</v>
      </c>
      <c r="K15" s="409">
        <v>560000</v>
      </c>
      <c r="L15" s="410">
        <f t="shared" si="4"/>
        <v>9589999.9999999981</v>
      </c>
      <c r="M15" s="410">
        <f t="shared" si="5"/>
        <v>1083599.9999999998</v>
      </c>
      <c r="N15" s="410">
        <f t="shared" si="6"/>
        <v>10673599.999999998</v>
      </c>
      <c r="O15" s="410">
        <f t="shared" si="7"/>
        <v>451499.99999999994</v>
      </c>
      <c r="P15" s="410">
        <f t="shared" si="8"/>
        <v>11125099.999999998</v>
      </c>
      <c r="Q15" s="411" t="str">
        <f t="shared" si="9"/>
        <v>Sold</v>
      </c>
      <c r="R15" s="296" t="s">
        <v>141</v>
      </c>
      <c r="S15" s="278" t="str">
        <f t="shared" si="1"/>
        <v>ERROR</v>
      </c>
      <c r="T15" s="279">
        <v>16267676.145</v>
      </c>
      <c r="U15" s="278" t="str">
        <f t="shared" si="10"/>
        <v>ERROR</v>
      </c>
      <c r="V15" s="1" t="s">
        <v>502</v>
      </c>
      <c r="W15" s="1" t="s">
        <v>505</v>
      </c>
      <c r="X15" s="274" t="b">
        <f>J15=[1]Sheet1!J7</f>
        <v>0</v>
      </c>
    </row>
    <row r="16" spans="1:24" x14ac:dyDescent="0.2">
      <c r="A16" s="360" t="s">
        <v>699</v>
      </c>
      <c r="B16" s="360" t="s">
        <v>542</v>
      </c>
      <c r="C16" s="269" t="str">
        <f t="shared" si="2"/>
        <v>B1L8</v>
      </c>
      <c r="D16" s="407">
        <v>1</v>
      </c>
      <c r="E16" s="408">
        <v>8</v>
      </c>
      <c r="F16" s="407"/>
      <c r="G16" s="417">
        <v>300</v>
      </c>
      <c r="H16" s="409">
        <v>29999.999999999996</v>
      </c>
      <c r="I16" s="409" t="str">
        <f t="shared" si="11"/>
        <v>Parkview</v>
      </c>
      <c r="J16" s="409">
        <f t="shared" si="3"/>
        <v>8999999.9999999981</v>
      </c>
      <c r="K16" s="409">
        <v>560000</v>
      </c>
      <c r="L16" s="410">
        <f t="shared" si="4"/>
        <v>9559999.9999999981</v>
      </c>
      <c r="M16" s="410">
        <f t="shared" si="5"/>
        <v>1079999.9999999998</v>
      </c>
      <c r="N16" s="410">
        <f t="shared" si="6"/>
        <v>10639999.999999998</v>
      </c>
      <c r="O16" s="410">
        <f t="shared" si="7"/>
        <v>449999.99999999994</v>
      </c>
      <c r="P16" s="410">
        <f t="shared" si="8"/>
        <v>11089999.999999998</v>
      </c>
      <c r="Q16" s="411" t="str">
        <f t="shared" si="9"/>
        <v>Sold</v>
      </c>
      <c r="R16" s="296" t="s">
        <v>142</v>
      </c>
      <c r="S16" s="278" t="str">
        <f t="shared" si="1"/>
        <v>ERROR</v>
      </c>
      <c r="T16" s="279">
        <v>13646029.502875</v>
      </c>
      <c r="U16" s="278" t="str">
        <f t="shared" si="10"/>
        <v>ERROR</v>
      </c>
      <c r="V16" s="1" t="s">
        <v>502</v>
      </c>
      <c r="W16" s="1" t="s">
        <v>505</v>
      </c>
      <c r="X16" s="274" t="b">
        <f>J16=[1]Sheet1!J8</f>
        <v>0</v>
      </c>
    </row>
    <row r="17" spans="1:24" x14ac:dyDescent="0.2">
      <c r="A17" s="360" t="s">
        <v>702</v>
      </c>
      <c r="B17" s="360" t="s">
        <v>543</v>
      </c>
      <c r="C17" s="269" t="str">
        <f t="shared" si="2"/>
        <v>B1L9</v>
      </c>
      <c r="D17" s="407">
        <v>1</v>
      </c>
      <c r="E17" s="408">
        <v>9</v>
      </c>
      <c r="F17" s="407"/>
      <c r="G17" s="417">
        <v>300</v>
      </c>
      <c r="H17" s="409">
        <f>30000*1.05</f>
        <v>31500</v>
      </c>
      <c r="I17" s="409" t="str">
        <f t="shared" si="11"/>
        <v>Parkview</v>
      </c>
      <c r="J17" s="409">
        <f>ROUNDUP((H17*G17),-4)</f>
        <v>9450000</v>
      </c>
      <c r="K17" s="409">
        <v>560000</v>
      </c>
      <c r="L17" s="410">
        <f t="shared" si="4"/>
        <v>10010000</v>
      </c>
      <c r="M17" s="410">
        <f t="shared" si="5"/>
        <v>1134000</v>
      </c>
      <c r="N17" s="410">
        <f t="shared" si="6"/>
        <v>11144000</v>
      </c>
      <c r="O17" s="410">
        <f t="shared" si="7"/>
        <v>472500</v>
      </c>
      <c r="P17" s="410">
        <f t="shared" si="8"/>
        <v>11616500</v>
      </c>
      <c r="Q17" s="411" t="str">
        <f t="shared" si="9"/>
        <v>Hold</v>
      </c>
      <c r="R17" s="296" t="s">
        <v>143</v>
      </c>
      <c r="S17" s="278" t="str">
        <f t="shared" si="1"/>
        <v>ERROR</v>
      </c>
      <c r="T17" s="279">
        <v>13611194.52</v>
      </c>
      <c r="U17" s="278" t="str">
        <f t="shared" si="10"/>
        <v>ERROR</v>
      </c>
      <c r="V17" s="1" t="s">
        <v>502</v>
      </c>
      <c r="W17" s="1" t="s">
        <v>505</v>
      </c>
      <c r="X17" s="274" t="b">
        <f>J17=[1]Sheet1!J9</f>
        <v>0</v>
      </c>
    </row>
    <row r="18" spans="1:24" x14ac:dyDescent="0.2">
      <c r="A18" s="360" t="s">
        <v>702</v>
      </c>
      <c r="B18" s="360" t="s">
        <v>544</v>
      </c>
      <c r="C18" s="269" t="str">
        <f t="shared" si="2"/>
        <v>B1L10</v>
      </c>
      <c r="D18" s="407">
        <v>1</v>
      </c>
      <c r="E18" s="408">
        <v>10</v>
      </c>
      <c r="F18" s="407"/>
      <c r="G18" s="417">
        <v>300</v>
      </c>
      <c r="H18" s="409">
        <f>30000*1.05</f>
        <v>31500</v>
      </c>
      <c r="I18" s="409" t="str">
        <f t="shared" si="11"/>
        <v>Parkview</v>
      </c>
      <c r="J18" s="409">
        <f>ROUNDUP((H18*G18),-4)</f>
        <v>9450000</v>
      </c>
      <c r="K18" s="409">
        <v>560000</v>
      </c>
      <c r="L18" s="410">
        <f t="shared" si="4"/>
        <v>10010000</v>
      </c>
      <c r="M18" s="410">
        <f t="shared" si="5"/>
        <v>1134000</v>
      </c>
      <c r="N18" s="410">
        <f t="shared" si="6"/>
        <v>11144000</v>
      </c>
      <c r="O18" s="410">
        <f t="shared" si="7"/>
        <v>472500</v>
      </c>
      <c r="P18" s="410">
        <f t="shared" si="8"/>
        <v>11616500</v>
      </c>
      <c r="Q18" s="411" t="str">
        <f t="shared" si="9"/>
        <v>Hold</v>
      </c>
      <c r="R18" s="296" t="s">
        <v>477</v>
      </c>
      <c r="S18" s="278" t="str">
        <f t="shared" si="1"/>
        <v>ERROR</v>
      </c>
      <c r="T18" s="279">
        <v>13611194.52</v>
      </c>
      <c r="U18" s="278" t="str">
        <f t="shared" si="10"/>
        <v>ERROR</v>
      </c>
      <c r="V18" s="1" t="s">
        <v>502</v>
      </c>
      <c r="W18" s="1" t="s">
        <v>505</v>
      </c>
      <c r="X18" s="274" t="b">
        <f>J18=[1]Sheet1!J10</f>
        <v>0</v>
      </c>
    </row>
    <row r="19" spans="1:24" x14ac:dyDescent="0.2">
      <c r="A19" s="360" t="s">
        <v>515</v>
      </c>
      <c r="B19" s="360" t="s">
        <v>545</v>
      </c>
      <c r="C19" s="269" t="str">
        <f t="shared" si="2"/>
        <v>B1L11</v>
      </c>
      <c r="D19" s="407">
        <v>1</v>
      </c>
      <c r="E19" s="408">
        <v>11</v>
      </c>
      <c r="F19" s="407"/>
      <c r="G19" s="417">
        <v>300</v>
      </c>
      <c r="H19" s="409">
        <v>26499.999999999996</v>
      </c>
      <c r="I19" s="409" t="str">
        <f t="shared" ref="I19:I24" si="12">$I$6</f>
        <v>Park Lane</v>
      </c>
      <c r="J19" s="409">
        <f t="shared" si="3"/>
        <v>7949999.9999999991</v>
      </c>
      <c r="K19" s="409">
        <v>560000</v>
      </c>
      <c r="L19" s="410">
        <f t="shared" si="4"/>
        <v>8510000</v>
      </c>
      <c r="M19" s="410">
        <f t="shared" si="5"/>
        <v>953999.99999999988</v>
      </c>
      <c r="N19" s="410">
        <f t="shared" si="6"/>
        <v>9464000</v>
      </c>
      <c r="O19" s="410">
        <f t="shared" si="7"/>
        <v>397500</v>
      </c>
      <c r="P19" s="410">
        <f t="shared" si="8"/>
        <v>9861500</v>
      </c>
      <c r="Q19" s="411" t="str">
        <f t="shared" si="9"/>
        <v>Available</v>
      </c>
      <c r="R19" s="296" t="s">
        <v>144</v>
      </c>
      <c r="S19" s="278" t="str">
        <f t="shared" si="1"/>
        <v>ERROR</v>
      </c>
      <c r="T19" s="279">
        <v>13611194.52</v>
      </c>
      <c r="U19" s="278" t="str">
        <f t="shared" si="10"/>
        <v>ERROR</v>
      </c>
      <c r="V19" s="1" t="s">
        <v>502</v>
      </c>
      <c r="W19" s="1" t="s">
        <v>505</v>
      </c>
      <c r="X19" s="274" t="b">
        <f>J19=[1]Sheet1!J11</f>
        <v>0</v>
      </c>
    </row>
    <row r="20" spans="1:24" ht="15" customHeight="1" x14ac:dyDescent="0.2">
      <c r="A20" s="360" t="s">
        <v>515</v>
      </c>
      <c r="B20" s="360" t="s">
        <v>546</v>
      </c>
      <c r="C20" s="269" t="str">
        <f t="shared" si="2"/>
        <v>B1L12</v>
      </c>
      <c r="D20" s="407">
        <v>1</v>
      </c>
      <c r="E20" s="408">
        <v>12</v>
      </c>
      <c r="F20" s="407"/>
      <c r="G20" s="417">
        <v>302</v>
      </c>
      <c r="H20" s="409">
        <v>26999.999999999996</v>
      </c>
      <c r="I20" s="409" t="str">
        <f t="shared" si="12"/>
        <v>Park Lane</v>
      </c>
      <c r="J20" s="409">
        <f t="shared" si="3"/>
        <v>8153999.9999999991</v>
      </c>
      <c r="K20" s="409">
        <v>560000</v>
      </c>
      <c r="L20" s="410">
        <f t="shared" si="4"/>
        <v>8714000</v>
      </c>
      <c r="M20" s="410">
        <f t="shared" si="5"/>
        <v>978479.99999999988</v>
      </c>
      <c r="N20" s="410">
        <f t="shared" si="6"/>
        <v>9692480</v>
      </c>
      <c r="O20" s="410">
        <f t="shared" si="7"/>
        <v>407700</v>
      </c>
      <c r="P20" s="410">
        <f t="shared" si="8"/>
        <v>10100180</v>
      </c>
      <c r="Q20" s="411" t="str">
        <f t="shared" si="9"/>
        <v>Available</v>
      </c>
      <c r="R20" s="351" t="s">
        <v>145</v>
      </c>
      <c r="S20" s="352" t="str">
        <f t="shared" si="1"/>
        <v>ERROR</v>
      </c>
      <c r="T20" s="353">
        <v>17838573.269125</v>
      </c>
      <c r="U20" s="352" t="str">
        <f t="shared" si="10"/>
        <v>ERROR</v>
      </c>
      <c r="V20" s="308" t="s">
        <v>502</v>
      </c>
      <c r="W20" s="308" t="s">
        <v>505</v>
      </c>
      <c r="X20" s="274" t="b">
        <f>J20=[1]Sheet1!J12</f>
        <v>0</v>
      </c>
    </row>
    <row r="21" spans="1:24" s="404" customFormat="1" ht="15" customHeight="1" x14ac:dyDescent="0.2">
      <c r="A21" s="360" t="s">
        <v>515</v>
      </c>
      <c r="B21" s="360" t="s">
        <v>547</v>
      </c>
      <c r="C21" s="269" t="str">
        <f t="shared" si="2"/>
        <v>B1L15</v>
      </c>
      <c r="D21" s="407">
        <v>1</v>
      </c>
      <c r="E21" s="408">
        <v>15</v>
      </c>
      <c r="F21" s="407"/>
      <c r="G21" s="417">
        <v>327</v>
      </c>
      <c r="H21" s="409">
        <v>26999.999999999996</v>
      </c>
      <c r="I21" s="409" t="str">
        <f t="shared" si="12"/>
        <v>Park Lane</v>
      </c>
      <c r="J21" s="409">
        <f t="shared" si="3"/>
        <v>8828999.9999999981</v>
      </c>
      <c r="K21" s="409">
        <v>560000</v>
      </c>
      <c r="L21" s="410">
        <f t="shared" si="4"/>
        <v>9388999.9999999981</v>
      </c>
      <c r="M21" s="410">
        <f t="shared" si="5"/>
        <v>1059479.9999999998</v>
      </c>
      <c r="N21" s="410">
        <f t="shared" si="6"/>
        <v>10448479.999999998</v>
      </c>
      <c r="O21" s="410">
        <f t="shared" si="7"/>
        <v>441449.99999999994</v>
      </c>
      <c r="P21" s="410">
        <f t="shared" si="8"/>
        <v>10889929.999999998</v>
      </c>
      <c r="Q21" s="411" t="str">
        <f t="shared" si="9"/>
        <v>Available</v>
      </c>
      <c r="R21" s="351" t="s">
        <v>473</v>
      </c>
      <c r="S21" s="352" t="str">
        <f t="shared" si="1"/>
        <v>ERROR</v>
      </c>
      <c r="T21" s="353">
        <v>25068824.515000001</v>
      </c>
      <c r="U21" s="352" t="str">
        <f t="shared" si="10"/>
        <v>ERROR</v>
      </c>
      <c r="V21" s="308"/>
      <c r="W21" s="308"/>
      <c r="X21" s="405" t="b">
        <f>J21=[1]Sheet1!J13</f>
        <v>0</v>
      </c>
    </row>
    <row r="22" spans="1:24" s="404" customFormat="1" ht="15" customHeight="1" x14ac:dyDescent="0.2">
      <c r="A22" s="360" t="s">
        <v>515</v>
      </c>
      <c r="B22" s="360" t="s">
        <v>599</v>
      </c>
      <c r="C22" s="269" t="str">
        <f t="shared" si="2"/>
        <v>B1L16</v>
      </c>
      <c r="D22" s="407">
        <v>1</v>
      </c>
      <c r="E22" s="408">
        <v>16</v>
      </c>
      <c r="F22" s="407"/>
      <c r="G22" s="417">
        <v>309</v>
      </c>
      <c r="H22" s="409">
        <v>26999.999999999996</v>
      </c>
      <c r="I22" s="409" t="str">
        <f t="shared" si="12"/>
        <v>Park Lane</v>
      </c>
      <c r="J22" s="409">
        <f t="shared" si="3"/>
        <v>8342999.9999999991</v>
      </c>
      <c r="K22" s="409">
        <v>560000</v>
      </c>
      <c r="L22" s="410">
        <f t="shared" si="4"/>
        <v>8903000</v>
      </c>
      <c r="M22" s="410">
        <f t="shared" si="5"/>
        <v>1001159.9999999999</v>
      </c>
      <c r="N22" s="410">
        <f t="shared" si="6"/>
        <v>9904160</v>
      </c>
      <c r="O22" s="410">
        <f t="shared" si="7"/>
        <v>417150</v>
      </c>
      <c r="P22" s="410">
        <f t="shared" si="8"/>
        <v>10321310</v>
      </c>
      <c r="Q22" s="411" t="str">
        <f t="shared" si="9"/>
        <v>Available</v>
      </c>
      <c r="R22" s="351" t="s">
        <v>146</v>
      </c>
      <c r="S22" s="352" t="str">
        <f t="shared" si="1"/>
        <v>ERROR</v>
      </c>
      <c r="T22" s="353">
        <v>15309262.822000001</v>
      </c>
      <c r="U22" s="352" t="str">
        <f t="shared" si="10"/>
        <v>ERROR</v>
      </c>
      <c r="V22" s="308" t="s">
        <v>502</v>
      </c>
      <c r="W22" s="308" t="s">
        <v>505</v>
      </c>
      <c r="X22" s="405" t="b">
        <f>J22=[1]Sheet1!J14</f>
        <v>0</v>
      </c>
    </row>
    <row r="23" spans="1:24" x14ac:dyDescent="0.2">
      <c r="A23" s="360" t="s">
        <v>515</v>
      </c>
      <c r="B23" s="360" t="s">
        <v>600</v>
      </c>
      <c r="C23" s="269" t="str">
        <f t="shared" si="2"/>
        <v>B1L17</v>
      </c>
      <c r="D23" s="407">
        <v>1</v>
      </c>
      <c r="E23" s="408">
        <v>17</v>
      </c>
      <c r="F23" s="407"/>
      <c r="G23" s="417">
        <v>332</v>
      </c>
      <c r="H23" s="409">
        <v>26999.999999999996</v>
      </c>
      <c r="I23" s="409" t="str">
        <f t="shared" si="12"/>
        <v>Park Lane</v>
      </c>
      <c r="J23" s="409">
        <f t="shared" si="3"/>
        <v>8963999.9999999981</v>
      </c>
      <c r="K23" s="409">
        <v>560000</v>
      </c>
      <c r="L23" s="410">
        <f t="shared" si="4"/>
        <v>9523999.9999999981</v>
      </c>
      <c r="M23" s="410">
        <f t="shared" si="5"/>
        <v>1075679.9999999998</v>
      </c>
      <c r="N23" s="410">
        <f t="shared" si="6"/>
        <v>10599679.999999998</v>
      </c>
      <c r="O23" s="410">
        <f t="shared" si="7"/>
        <v>448199.99999999994</v>
      </c>
      <c r="P23" s="410">
        <f t="shared" si="8"/>
        <v>11047879.999999998</v>
      </c>
      <c r="Q23" s="411" t="str">
        <f t="shared" si="9"/>
        <v>Available</v>
      </c>
      <c r="R23" s="351" t="s">
        <v>147</v>
      </c>
      <c r="S23" s="352" t="str">
        <f t="shared" si="1"/>
        <v>ERROR</v>
      </c>
      <c r="T23" s="353">
        <v>10319614.86675</v>
      </c>
      <c r="U23" s="352" t="str">
        <f t="shared" si="10"/>
        <v>ERROR</v>
      </c>
      <c r="V23" s="308" t="s">
        <v>502</v>
      </c>
      <c r="W23" s="308" t="s">
        <v>505</v>
      </c>
      <c r="X23" s="274" t="b">
        <f>J23=[1]Sheet1!J15</f>
        <v>0</v>
      </c>
    </row>
    <row r="24" spans="1:24" x14ac:dyDescent="0.2">
      <c r="A24" s="360" t="s">
        <v>515</v>
      </c>
      <c r="B24" s="360" t="s">
        <v>601</v>
      </c>
      <c r="C24" s="269" t="str">
        <f t="shared" si="2"/>
        <v>B1L18</v>
      </c>
      <c r="D24" s="407">
        <v>1</v>
      </c>
      <c r="E24" s="408">
        <v>18</v>
      </c>
      <c r="F24" s="407"/>
      <c r="G24" s="417">
        <v>411</v>
      </c>
      <c r="H24" s="409">
        <v>36000</v>
      </c>
      <c r="I24" s="409" t="str">
        <f t="shared" si="12"/>
        <v>Park Lane</v>
      </c>
      <c r="J24" s="409">
        <f t="shared" si="3"/>
        <v>14796000</v>
      </c>
      <c r="K24" s="409">
        <v>560000</v>
      </c>
      <c r="L24" s="410">
        <f t="shared" si="4"/>
        <v>15356000</v>
      </c>
      <c r="M24" s="410">
        <f t="shared" si="5"/>
        <v>1775520</v>
      </c>
      <c r="N24" s="410">
        <f t="shared" si="6"/>
        <v>17131520</v>
      </c>
      <c r="O24" s="410">
        <f t="shared" si="7"/>
        <v>739800</v>
      </c>
      <c r="P24" s="410">
        <f t="shared" si="8"/>
        <v>17871320</v>
      </c>
      <c r="Q24" s="411" t="str">
        <f t="shared" si="9"/>
        <v>Available</v>
      </c>
      <c r="R24" s="351"/>
      <c r="S24" s="352"/>
      <c r="T24" s="353"/>
      <c r="U24" s="352"/>
      <c r="V24" s="308" t="s">
        <v>502</v>
      </c>
      <c r="W24" s="308" t="s">
        <v>505</v>
      </c>
      <c r="X24" s="274" t="b">
        <f>J24=[1]Sheet1!J16</f>
        <v>0</v>
      </c>
    </row>
    <row r="25" spans="1:24" x14ac:dyDescent="0.2">
      <c r="A25" s="360" t="s">
        <v>515</v>
      </c>
      <c r="B25" s="360" t="s">
        <v>548</v>
      </c>
      <c r="C25" s="269" t="str">
        <f t="shared" si="2"/>
        <v>B2L1</v>
      </c>
      <c r="D25" s="270">
        <v>2</v>
      </c>
      <c r="E25" s="271">
        <v>1</v>
      </c>
      <c r="F25" s="270"/>
      <c r="G25" s="418">
        <v>367</v>
      </c>
      <c r="H25" s="272">
        <v>41000</v>
      </c>
      <c r="I25" s="272" t="str">
        <f>$I$7</f>
        <v>Parkview</v>
      </c>
      <c r="J25" s="272">
        <f t="shared" si="3"/>
        <v>15047000</v>
      </c>
      <c r="K25" s="272">
        <v>560000</v>
      </c>
      <c r="L25" s="273">
        <f t="shared" si="4"/>
        <v>15607000</v>
      </c>
      <c r="M25" s="273">
        <f t="shared" si="5"/>
        <v>1805640</v>
      </c>
      <c r="N25" s="273">
        <f t="shared" si="6"/>
        <v>17412640</v>
      </c>
      <c r="O25" s="273">
        <f t="shared" si="7"/>
        <v>752350</v>
      </c>
      <c r="P25" s="273">
        <f t="shared" si="8"/>
        <v>18164990</v>
      </c>
      <c r="Q25" s="406" t="str">
        <f t="shared" si="9"/>
        <v>Available</v>
      </c>
      <c r="R25" s="351" t="s">
        <v>148</v>
      </c>
      <c r="S25" s="352" t="str">
        <f t="shared" ref="S25:S62" si="13">IF(R25=C25,"GOOD","ERROR")</f>
        <v>ERROR</v>
      </c>
      <c r="T25" s="353">
        <v>15309262.822000001</v>
      </c>
      <c r="U25" s="352" t="str">
        <f t="shared" si="10"/>
        <v>ERROR</v>
      </c>
      <c r="V25" s="308" t="s">
        <v>502</v>
      </c>
      <c r="W25" s="308" t="s">
        <v>505</v>
      </c>
      <c r="X25" s="274" t="b">
        <f>J25=[1]Sheet1!J17</f>
        <v>0</v>
      </c>
    </row>
    <row r="26" spans="1:24" x14ac:dyDescent="0.2">
      <c r="A26" s="360" t="s">
        <v>515</v>
      </c>
      <c r="B26" s="360" t="s">
        <v>549</v>
      </c>
      <c r="C26" s="269" t="str">
        <f t="shared" si="2"/>
        <v>B2L2</v>
      </c>
      <c r="D26" s="270">
        <v>2</v>
      </c>
      <c r="E26" s="271">
        <v>2</v>
      </c>
      <c r="F26" s="270"/>
      <c r="G26" s="418">
        <v>407</v>
      </c>
      <c r="H26" s="272">
        <v>39500</v>
      </c>
      <c r="I26" s="272" t="str">
        <f>$I$6</f>
        <v>Park Lane</v>
      </c>
      <c r="J26" s="272">
        <f t="shared" si="3"/>
        <v>16076500</v>
      </c>
      <c r="K26" s="272">
        <v>560000</v>
      </c>
      <c r="L26" s="273">
        <f t="shared" si="4"/>
        <v>16636500</v>
      </c>
      <c r="M26" s="273">
        <f t="shared" si="5"/>
        <v>1929180</v>
      </c>
      <c r="N26" s="273">
        <f t="shared" si="6"/>
        <v>18565680</v>
      </c>
      <c r="O26" s="273">
        <f t="shared" si="7"/>
        <v>803825</v>
      </c>
      <c r="P26" s="273">
        <f t="shared" si="8"/>
        <v>19369505</v>
      </c>
      <c r="Q26" s="406" t="str">
        <f t="shared" si="9"/>
        <v>Available</v>
      </c>
      <c r="R26" s="351" t="s">
        <v>149</v>
      </c>
      <c r="S26" s="352" t="str">
        <f t="shared" si="13"/>
        <v>ERROR</v>
      </c>
      <c r="T26" s="353">
        <v>10354301.41375</v>
      </c>
      <c r="U26" s="352" t="str">
        <f t="shared" si="10"/>
        <v>ERROR</v>
      </c>
      <c r="V26" s="308" t="s">
        <v>502</v>
      </c>
      <c r="W26" s="308" t="s">
        <v>505</v>
      </c>
      <c r="X26" s="274" t="b">
        <f>J26=[1]Sheet1!J18</f>
        <v>0</v>
      </c>
    </row>
    <row r="27" spans="1:24" x14ac:dyDescent="0.2">
      <c r="A27" s="360" t="s">
        <v>515</v>
      </c>
      <c r="B27" s="360" t="s">
        <v>550</v>
      </c>
      <c r="C27" s="269" t="str">
        <f t="shared" si="2"/>
        <v>B2L3</v>
      </c>
      <c r="D27" s="270">
        <v>2</v>
      </c>
      <c r="E27" s="271">
        <v>3</v>
      </c>
      <c r="F27" s="270"/>
      <c r="G27" s="418">
        <v>327</v>
      </c>
      <c r="H27" s="272">
        <v>34000</v>
      </c>
      <c r="I27" s="272" t="str">
        <f t="shared" ref="I27:I32" si="14">$I$6</f>
        <v>Park Lane</v>
      </c>
      <c r="J27" s="272">
        <f t="shared" si="3"/>
        <v>11118000</v>
      </c>
      <c r="K27" s="272">
        <v>560000</v>
      </c>
      <c r="L27" s="273">
        <f t="shared" si="4"/>
        <v>11678000</v>
      </c>
      <c r="M27" s="273">
        <f t="shared" si="5"/>
        <v>1334160</v>
      </c>
      <c r="N27" s="273">
        <f t="shared" si="6"/>
        <v>13012160</v>
      </c>
      <c r="O27" s="273">
        <f t="shared" si="7"/>
        <v>555900</v>
      </c>
      <c r="P27" s="273">
        <f t="shared" si="8"/>
        <v>13568060</v>
      </c>
      <c r="Q27" s="406" t="str">
        <f t="shared" si="9"/>
        <v>Available</v>
      </c>
      <c r="R27" s="351" t="s">
        <v>150</v>
      </c>
      <c r="S27" s="352" t="str">
        <f t="shared" si="13"/>
        <v>ERROR</v>
      </c>
      <c r="T27" s="353">
        <v>15332407.975500001</v>
      </c>
      <c r="U27" s="352" t="str">
        <f t="shared" si="10"/>
        <v>ERROR</v>
      </c>
      <c r="V27" s="308" t="s">
        <v>502</v>
      </c>
      <c r="W27" s="308" t="s">
        <v>505</v>
      </c>
      <c r="X27" s="274" t="b">
        <f>J27=[1]Sheet1!J19</f>
        <v>0</v>
      </c>
    </row>
    <row r="28" spans="1:24" x14ac:dyDescent="0.2">
      <c r="A28" s="360" t="s">
        <v>515</v>
      </c>
      <c r="B28" s="360" t="s">
        <v>551</v>
      </c>
      <c r="C28" s="269" t="str">
        <f t="shared" si="2"/>
        <v>B2L5</v>
      </c>
      <c r="D28" s="270">
        <v>2</v>
      </c>
      <c r="E28" s="271">
        <v>5</v>
      </c>
      <c r="F28" s="270"/>
      <c r="G28" s="418">
        <v>324</v>
      </c>
      <c r="H28" s="272">
        <v>27499.999999999996</v>
      </c>
      <c r="I28" s="272" t="str">
        <f t="shared" si="14"/>
        <v>Park Lane</v>
      </c>
      <c r="J28" s="272">
        <f t="shared" si="3"/>
        <v>8909999.9999999981</v>
      </c>
      <c r="K28" s="272">
        <v>560000</v>
      </c>
      <c r="L28" s="273">
        <f t="shared" si="4"/>
        <v>9469999.9999999981</v>
      </c>
      <c r="M28" s="273">
        <f t="shared" si="5"/>
        <v>1069199.9999999998</v>
      </c>
      <c r="N28" s="273">
        <f t="shared" si="6"/>
        <v>10539199.999999998</v>
      </c>
      <c r="O28" s="273">
        <f t="shared" si="7"/>
        <v>445499.99999999994</v>
      </c>
      <c r="P28" s="273">
        <f t="shared" si="8"/>
        <v>10984699.999999998</v>
      </c>
      <c r="Q28" s="406" t="str">
        <f t="shared" si="9"/>
        <v>Available</v>
      </c>
      <c r="R28" s="296" t="s">
        <v>151</v>
      </c>
      <c r="S28" s="278" t="str">
        <f t="shared" si="13"/>
        <v>ERROR</v>
      </c>
      <c r="T28" s="279">
        <v>11243593.452</v>
      </c>
      <c r="U28" s="278" t="str">
        <f t="shared" si="10"/>
        <v>ERROR</v>
      </c>
      <c r="V28" s="1" t="s">
        <v>502</v>
      </c>
      <c r="W28" s="1" t="s">
        <v>505</v>
      </c>
      <c r="X28" s="274" t="b">
        <f>J28=[1]Sheet1!J20</f>
        <v>0</v>
      </c>
    </row>
    <row r="29" spans="1:24" x14ac:dyDescent="0.2">
      <c r="A29" s="360" t="s">
        <v>515</v>
      </c>
      <c r="B29" s="360" t="s">
        <v>552</v>
      </c>
      <c r="C29" s="269" t="str">
        <f t="shared" si="2"/>
        <v>B2L6</v>
      </c>
      <c r="D29" s="270">
        <v>2</v>
      </c>
      <c r="E29" s="271">
        <v>6</v>
      </c>
      <c r="F29" s="270"/>
      <c r="G29" s="418">
        <v>324</v>
      </c>
      <c r="H29" s="272">
        <v>27499.999999999996</v>
      </c>
      <c r="I29" s="272" t="str">
        <f t="shared" si="14"/>
        <v>Park Lane</v>
      </c>
      <c r="J29" s="272">
        <f t="shared" si="3"/>
        <v>8909999.9999999981</v>
      </c>
      <c r="K29" s="272">
        <v>560000</v>
      </c>
      <c r="L29" s="273">
        <f t="shared" si="4"/>
        <v>9469999.9999999981</v>
      </c>
      <c r="M29" s="273">
        <f t="shared" si="5"/>
        <v>1069199.9999999998</v>
      </c>
      <c r="N29" s="273">
        <f t="shared" si="6"/>
        <v>10539199.999999998</v>
      </c>
      <c r="O29" s="273">
        <f t="shared" si="7"/>
        <v>445499.99999999994</v>
      </c>
      <c r="P29" s="273">
        <f t="shared" si="8"/>
        <v>10984699.999999998</v>
      </c>
      <c r="Q29" s="406" t="str">
        <f t="shared" si="9"/>
        <v>Available</v>
      </c>
      <c r="R29" s="296" t="s">
        <v>152</v>
      </c>
      <c r="S29" s="278" t="str">
        <f t="shared" si="13"/>
        <v>ERROR</v>
      </c>
      <c r="T29" s="279">
        <v>12848856.188000001</v>
      </c>
      <c r="U29" s="278" t="str">
        <f t="shared" si="10"/>
        <v>ERROR</v>
      </c>
      <c r="V29" s="1" t="s">
        <v>502</v>
      </c>
      <c r="W29" s="1" t="s">
        <v>505</v>
      </c>
      <c r="X29" s="274" t="b">
        <f>J29=[1]Sheet1!J21</f>
        <v>0</v>
      </c>
    </row>
    <row r="30" spans="1:24" x14ac:dyDescent="0.2">
      <c r="A30" s="360" t="s">
        <v>515</v>
      </c>
      <c r="B30" s="360" t="s">
        <v>553</v>
      </c>
      <c r="C30" s="269" t="str">
        <f t="shared" si="2"/>
        <v>B2L7</v>
      </c>
      <c r="D30" s="270">
        <v>2</v>
      </c>
      <c r="E30" s="271">
        <v>7</v>
      </c>
      <c r="F30" s="270"/>
      <c r="G30" s="418">
        <v>324</v>
      </c>
      <c r="H30" s="272">
        <v>27499.999999999996</v>
      </c>
      <c r="I30" s="272" t="str">
        <f t="shared" si="14"/>
        <v>Park Lane</v>
      </c>
      <c r="J30" s="272">
        <f t="shared" si="3"/>
        <v>8909999.9999999981</v>
      </c>
      <c r="K30" s="272">
        <v>560000</v>
      </c>
      <c r="L30" s="273">
        <f t="shared" si="4"/>
        <v>9469999.9999999981</v>
      </c>
      <c r="M30" s="273">
        <f t="shared" si="5"/>
        <v>1069199.9999999998</v>
      </c>
      <c r="N30" s="273">
        <f t="shared" si="6"/>
        <v>10539199.999999998</v>
      </c>
      <c r="O30" s="273">
        <f t="shared" si="7"/>
        <v>445499.99999999994</v>
      </c>
      <c r="P30" s="273">
        <f t="shared" si="8"/>
        <v>10984699.999999998</v>
      </c>
      <c r="Q30" s="406" t="str">
        <f t="shared" si="9"/>
        <v>Available</v>
      </c>
      <c r="R30" s="296" t="s">
        <v>153</v>
      </c>
      <c r="S30" s="278" t="str">
        <f t="shared" si="13"/>
        <v>ERROR</v>
      </c>
      <c r="T30" s="279">
        <v>11208808.128</v>
      </c>
      <c r="U30" s="278" t="str">
        <f t="shared" si="10"/>
        <v>ERROR</v>
      </c>
      <c r="V30" s="1" t="s">
        <v>502</v>
      </c>
      <c r="W30" s="1" t="s">
        <v>505</v>
      </c>
      <c r="X30" s="274" t="b">
        <f>J30=[1]Sheet1!J22</f>
        <v>0</v>
      </c>
    </row>
    <row r="31" spans="1:24" ht="15" customHeight="1" x14ac:dyDescent="0.2">
      <c r="A31" s="360" t="s">
        <v>515</v>
      </c>
      <c r="B31" s="360" t="s">
        <v>554</v>
      </c>
      <c r="C31" s="269" t="str">
        <f t="shared" si="2"/>
        <v>B2L8</v>
      </c>
      <c r="D31" s="270">
        <v>2</v>
      </c>
      <c r="E31" s="271">
        <v>8</v>
      </c>
      <c r="F31" s="270"/>
      <c r="G31" s="418">
        <v>327</v>
      </c>
      <c r="H31" s="272">
        <v>30999.999999999996</v>
      </c>
      <c r="I31" s="272" t="str">
        <f t="shared" si="14"/>
        <v>Park Lane</v>
      </c>
      <c r="J31" s="272">
        <f t="shared" si="3"/>
        <v>10136999.999999998</v>
      </c>
      <c r="K31" s="272">
        <v>560000</v>
      </c>
      <c r="L31" s="273">
        <f t="shared" si="4"/>
        <v>10696999.999999998</v>
      </c>
      <c r="M31" s="273">
        <f t="shared" si="5"/>
        <v>1216439.9999999998</v>
      </c>
      <c r="N31" s="273">
        <f t="shared" si="6"/>
        <v>11913439.999999998</v>
      </c>
      <c r="O31" s="273">
        <f t="shared" si="7"/>
        <v>506849.99999999994</v>
      </c>
      <c r="P31" s="273">
        <f t="shared" si="8"/>
        <v>12420289.999999998</v>
      </c>
      <c r="Q31" s="406" t="str">
        <f t="shared" si="9"/>
        <v>Available</v>
      </c>
      <c r="R31" s="296" t="s">
        <v>154</v>
      </c>
      <c r="S31" s="278" t="str">
        <f t="shared" si="13"/>
        <v>ERROR</v>
      </c>
      <c r="T31" s="279">
        <v>12848856.188000001</v>
      </c>
      <c r="U31" s="278" t="str">
        <f t="shared" si="10"/>
        <v>ERROR</v>
      </c>
      <c r="V31" s="1" t="s">
        <v>502</v>
      </c>
      <c r="W31" s="1" t="s">
        <v>505</v>
      </c>
      <c r="X31" s="274" t="b">
        <f>J31=[1]Sheet1!J23</f>
        <v>0</v>
      </c>
    </row>
    <row r="32" spans="1:24" x14ac:dyDescent="0.2">
      <c r="A32" s="360" t="s">
        <v>515</v>
      </c>
      <c r="B32" s="360" t="s">
        <v>555</v>
      </c>
      <c r="C32" s="269" t="str">
        <f t="shared" si="2"/>
        <v>B2L9</v>
      </c>
      <c r="D32" s="270">
        <v>2</v>
      </c>
      <c r="E32" s="271">
        <v>9</v>
      </c>
      <c r="F32" s="270"/>
      <c r="G32" s="418">
        <v>338</v>
      </c>
      <c r="H32" s="272">
        <v>27999.999999999996</v>
      </c>
      <c r="I32" s="272" t="str">
        <f t="shared" si="14"/>
        <v>Park Lane</v>
      </c>
      <c r="J32" s="272">
        <f t="shared" si="3"/>
        <v>9463999.9999999981</v>
      </c>
      <c r="K32" s="272">
        <v>560000</v>
      </c>
      <c r="L32" s="273">
        <f t="shared" si="4"/>
        <v>10023999.999999998</v>
      </c>
      <c r="M32" s="273">
        <f t="shared" si="5"/>
        <v>1135679.9999999998</v>
      </c>
      <c r="N32" s="273">
        <f t="shared" si="6"/>
        <v>11159679.999999998</v>
      </c>
      <c r="O32" s="273">
        <f t="shared" si="7"/>
        <v>473199.99999999994</v>
      </c>
      <c r="P32" s="273">
        <f t="shared" si="8"/>
        <v>11632879.999999998</v>
      </c>
      <c r="Q32" s="406" t="str">
        <f t="shared" si="9"/>
        <v>Available</v>
      </c>
      <c r="R32" s="296" t="s">
        <v>155</v>
      </c>
      <c r="S32" s="278" t="str">
        <f t="shared" si="13"/>
        <v>ERROR</v>
      </c>
      <c r="T32" s="279">
        <v>10250257.094000001</v>
      </c>
      <c r="U32" s="278" t="str">
        <f t="shared" si="10"/>
        <v>ERROR</v>
      </c>
      <c r="V32" s="1" t="s">
        <v>502</v>
      </c>
      <c r="W32" s="1" t="s">
        <v>505</v>
      </c>
      <c r="X32" s="274" t="b">
        <f>J32=[1]Sheet1!J24</f>
        <v>0</v>
      </c>
    </row>
    <row r="33" spans="1:30" x14ac:dyDescent="0.2">
      <c r="A33" s="360" t="s">
        <v>515</v>
      </c>
      <c r="B33" s="360" t="s">
        <v>556</v>
      </c>
      <c r="C33" s="269" t="str">
        <f t="shared" si="2"/>
        <v>B2L10</v>
      </c>
      <c r="D33" s="270">
        <v>2</v>
      </c>
      <c r="E33" s="271">
        <v>10</v>
      </c>
      <c r="F33" s="270"/>
      <c r="G33" s="418">
        <v>300</v>
      </c>
      <c r="H33" s="272">
        <v>34000</v>
      </c>
      <c r="I33" s="272" t="str">
        <f>$I$7</f>
        <v>Parkview</v>
      </c>
      <c r="J33" s="272">
        <f t="shared" si="3"/>
        <v>10200000</v>
      </c>
      <c r="K33" s="272">
        <v>560000</v>
      </c>
      <c r="L33" s="273">
        <f t="shared" si="4"/>
        <v>10760000</v>
      </c>
      <c r="M33" s="273">
        <f t="shared" si="5"/>
        <v>1224000</v>
      </c>
      <c r="N33" s="273">
        <f t="shared" si="6"/>
        <v>11984000</v>
      </c>
      <c r="O33" s="273">
        <f t="shared" si="7"/>
        <v>510000</v>
      </c>
      <c r="P33" s="273">
        <f t="shared" si="8"/>
        <v>12494000</v>
      </c>
      <c r="Q33" s="406" t="str">
        <f t="shared" si="9"/>
        <v>Available</v>
      </c>
      <c r="R33" s="296" t="s">
        <v>156</v>
      </c>
      <c r="S33" s="278" t="str">
        <f t="shared" si="13"/>
        <v>ERROR</v>
      </c>
      <c r="T33" s="279">
        <v>12848856.188000001</v>
      </c>
      <c r="U33" s="278" t="str">
        <f t="shared" si="10"/>
        <v>ERROR</v>
      </c>
      <c r="V33" s="1" t="s">
        <v>502</v>
      </c>
      <c r="W33" s="1" t="s">
        <v>505</v>
      </c>
      <c r="X33" s="274" t="b">
        <f>J33=[1]Sheet1!J25</f>
        <v>0</v>
      </c>
    </row>
    <row r="34" spans="1:30" x14ac:dyDescent="0.2">
      <c r="A34" s="360" t="s">
        <v>699</v>
      </c>
      <c r="B34" s="360" t="s">
        <v>557</v>
      </c>
      <c r="C34" s="269" t="str">
        <f t="shared" si="2"/>
        <v>B2L11</v>
      </c>
      <c r="D34" s="270">
        <v>2</v>
      </c>
      <c r="E34" s="271">
        <v>11</v>
      </c>
      <c r="F34" s="270"/>
      <c r="G34" s="418">
        <v>300</v>
      </c>
      <c r="H34" s="272">
        <v>34000</v>
      </c>
      <c r="I34" s="272" t="str">
        <f t="shared" ref="I34:I41" si="15">$I$7</f>
        <v>Parkview</v>
      </c>
      <c r="J34" s="272">
        <f t="shared" si="3"/>
        <v>10200000</v>
      </c>
      <c r="K34" s="272">
        <v>560000</v>
      </c>
      <c r="L34" s="273">
        <f t="shared" si="4"/>
        <v>10760000</v>
      </c>
      <c r="M34" s="273">
        <f t="shared" si="5"/>
        <v>1224000</v>
      </c>
      <c r="N34" s="273">
        <f t="shared" si="6"/>
        <v>11984000</v>
      </c>
      <c r="O34" s="273">
        <f t="shared" si="7"/>
        <v>510000</v>
      </c>
      <c r="P34" s="273">
        <f t="shared" si="8"/>
        <v>12494000</v>
      </c>
      <c r="Q34" s="406" t="str">
        <f t="shared" si="9"/>
        <v>Sold</v>
      </c>
      <c r="R34" s="296" t="s">
        <v>157</v>
      </c>
      <c r="S34" s="278" t="str">
        <f t="shared" si="13"/>
        <v>ERROR</v>
      </c>
      <c r="T34" s="279">
        <v>10284935.710000001</v>
      </c>
      <c r="U34" s="278" t="str">
        <f t="shared" si="10"/>
        <v>ERROR</v>
      </c>
      <c r="V34" s="1" t="s">
        <v>502</v>
      </c>
      <c r="W34" s="1" t="s">
        <v>505</v>
      </c>
      <c r="X34" s="274" t="b">
        <f>J34=[1]Sheet1!J26</f>
        <v>0</v>
      </c>
    </row>
    <row r="35" spans="1:30" ht="15" customHeight="1" x14ac:dyDescent="0.2">
      <c r="A35" s="360" t="s">
        <v>699</v>
      </c>
      <c r="B35" s="360" t="s">
        <v>558</v>
      </c>
      <c r="C35" s="269" t="str">
        <f t="shared" si="2"/>
        <v>B2L12</v>
      </c>
      <c r="D35" s="270">
        <v>2</v>
      </c>
      <c r="E35" s="271">
        <v>12</v>
      </c>
      <c r="F35" s="270"/>
      <c r="G35" s="418">
        <v>362</v>
      </c>
      <c r="H35" s="272">
        <v>34000</v>
      </c>
      <c r="I35" s="272" t="str">
        <f t="shared" si="15"/>
        <v>Parkview</v>
      </c>
      <c r="J35" s="272">
        <f t="shared" si="3"/>
        <v>12308000</v>
      </c>
      <c r="K35" s="272">
        <v>560000</v>
      </c>
      <c r="L35" s="273">
        <f t="shared" si="4"/>
        <v>12868000</v>
      </c>
      <c r="M35" s="273">
        <f t="shared" si="5"/>
        <v>1476960</v>
      </c>
      <c r="N35" s="273">
        <f t="shared" si="6"/>
        <v>14344960</v>
      </c>
      <c r="O35" s="273">
        <f t="shared" si="7"/>
        <v>615400</v>
      </c>
      <c r="P35" s="273">
        <f t="shared" si="8"/>
        <v>14960360</v>
      </c>
      <c r="Q35" s="406" t="str">
        <f t="shared" si="9"/>
        <v>Sold</v>
      </c>
      <c r="R35" s="296" t="s">
        <v>158</v>
      </c>
      <c r="S35" s="278" t="str">
        <f t="shared" si="13"/>
        <v>ERROR</v>
      </c>
      <c r="T35" s="279">
        <v>12860654.2575</v>
      </c>
      <c r="U35" s="278" t="str">
        <f t="shared" si="10"/>
        <v>ERROR</v>
      </c>
      <c r="V35" s="1" t="s">
        <v>502</v>
      </c>
      <c r="W35" s="1" t="s">
        <v>505</v>
      </c>
      <c r="X35" s="274" t="b">
        <f>J35=[1]Sheet1!J27</f>
        <v>0</v>
      </c>
    </row>
    <row r="36" spans="1:30" x14ac:dyDescent="0.2">
      <c r="A36" s="360" t="s">
        <v>699</v>
      </c>
      <c r="B36" s="360" t="s">
        <v>559</v>
      </c>
      <c r="C36" s="269" t="str">
        <f t="shared" si="2"/>
        <v>B2L15</v>
      </c>
      <c r="D36" s="270">
        <v>2</v>
      </c>
      <c r="E36" s="271">
        <v>15</v>
      </c>
      <c r="F36" s="270"/>
      <c r="G36" s="418">
        <v>362</v>
      </c>
      <c r="H36" s="272">
        <v>26999.999999999996</v>
      </c>
      <c r="I36" s="272" t="str">
        <f t="shared" si="15"/>
        <v>Parkview</v>
      </c>
      <c r="J36" s="272">
        <f t="shared" si="3"/>
        <v>9773999.9999999981</v>
      </c>
      <c r="K36" s="272">
        <v>560000</v>
      </c>
      <c r="L36" s="273">
        <f t="shared" si="4"/>
        <v>10333999.999999998</v>
      </c>
      <c r="M36" s="273">
        <f t="shared" si="5"/>
        <v>1172879.9999999998</v>
      </c>
      <c r="N36" s="273">
        <f t="shared" si="6"/>
        <v>11506879.999999998</v>
      </c>
      <c r="O36" s="273">
        <f t="shared" si="7"/>
        <v>488699.99999999994</v>
      </c>
      <c r="P36" s="273">
        <f t="shared" si="8"/>
        <v>11995579.999999998</v>
      </c>
      <c r="Q36" s="406" t="str">
        <f t="shared" si="9"/>
        <v>Sold</v>
      </c>
      <c r="R36" s="296" t="s">
        <v>159</v>
      </c>
      <c r="S36" s="278" t="str">
        <f t="shared" si="13"/>
        <v>ERROR</v>
      </c>
      <c r="T36" s="279">
        <v>10215480.512125</v>
      </c>
      <c r="U36" s="278" t="str">
        <f t="shared" si="10"/>
        <v>ERROR</v>
      </c>
      <c r="V36" s="1" t="s">
        <v>502</v>
      </c>
      <c r="W36" s="1" t="s">
        <v>505</v>
      </c>
      <c r="X36" s="274" t="b">
        <f>J36=[1]Sheet1!J28</f>
        <v>0</v>
      </c>
    </row>
    <row r="37" spans="1:30" ht="15" customHeight="1" x14ac:dyDescent="0.2">
      <c r="A37" s="360" t="s">
        <v>699</v>
      </c>
      <c r="B37" s="360" t="s">
        <v>560</v>
      </c>
      <c r="C37" s="269" t="str">
        <f t="shared" si="2"/>
        <v>B2L16</v>
      </c>
      <c r="D37" s="270">
        <v>2</v>
      </c>
      <c r="E37" s="271">
        <v>16</v>
      </c>
      <c r="F37" s="270"/>
      <c r="G37" s="418">
        <v>350</v>
      </c>
      <c r="H37" s="272">
        <v>26999.999999999996</v>
      </c>
      <c r="I37" s="272" t="str">
        <f t="shared" si="15"/>
        <v>Parkview</v>
      </c>
      <c r="J37" s="272">
        <f t="shared" si="3"/>
        <v>9449999.9999999981</v>
      </c>
      <c r="K37" s="272">
        <v>560000</v>
      </c>
      <c r="L37" s="273">
        <f t="shared" si="4"/>
        <v>10009999.999999998</v>
      </c>
      <c r="M37" s="273">
        <f t="shared" si="5"/>
        <v>1133999.9999999998</v>
      </c>
      <c r="N37" s="273">
        <f t="shared" si="6"/>
        <v>11143999.999999998</v>
      </c>
      <c r="O37" s="273">
        <f t="shared" si="7"/>
        <v>472499.99999999994</v>
      </c>
      <c r="P37" s="273">
        <f t="shared" si="8"/>
        <v>11616499.999999998</v>
      </c>
      <c r="Q37" s="406" t="str">
        <f t="shared" si="9"/>
        <v>Sold</v>
      </c>
      <c r="R37" s="296" t="s">
        <v>160</v>
      </c>
      <c r="S37" s="278" t="str">
        <f t="shared" si="13"/>
        <v>ERROR</v>
      </c>
      <c r="T37" s="279">
        <v>12768101.402000001</v>
      </c>
      <c r="U37" s="278" t="str">
        <f t="shared" si="10"/>
        <v>ERROR</v>
      </c>
      <c r="V37" s="1" t="s">
        <v>502</v>
      </c>
      <c r="W37" s="1" t="s">
        <v>505</v>
      </c>
      <c r="X37" s="274" t="b">
        <f>J37=[1]Sheet1!J29</f>
        <v>0</v>
      </c>
    </row>
    <row r="38" spans="1:30" x14ac:dyDescent="0.2">
      <c r="A38" s="360" t="s">
        <v>699</v>
      </c>
      <c r="B38" s="360" t="s">
        <v>561</v>
      </c>
      <c r="C38" s="269" t="str">
        <f t="shared" si="2"/>
        <v>B2L17</v>
      </c>
      <c r="D38" s="270">
        <v>2</v>
      </c>
      <c r="E38" s="271">
        <v>17</v>
      </c>
      <c r="F38" s="270"/>
      <c r="G38" s="418">
        <v>300</v>
      </c>
      <c r="H38" s="272">
        <v>26999.999999999996</v>
      </c>
      <c r="I38" s="272" t="str">
        <f t="shared" si="15"/>
        <v>Parkview</v>
      </c>
      <c r="J38" s="272">
        <f t="shared" si="3"/>
        <v>8099999.9999999991</v>
      </c>
      <c r="K38" s="272">
        <v>560000</v>
      </c>
      <c r="L38" s="273">
        <f t="shared" si="4"/>
        <v>8660000</v>
      </c>
      <c r="M38" s="273">
        <f t="shared" si="5"/>
        <v>971999.99999999988</v>
      </c>
      <c r="N38" s="273">
        <f t="shared" si="6"/>
        <v>9632000</v>
      </c>
      <c r="O38" s="273">
        <f t="shared" si="7"/>
        <v>405000</v>
      </c>
      <c r="P38" s="273">
        <f t="shared" si="8"/>
        <v>10037000</v>
      </c>
      <c r="Q38" s="406" t="str">
        <f t="shared" si="9"/>
        <v>Sold</v>
      </c>
      <c r="R38" s="296" t="s">
        <v>161</v>
      </c>
      <c r="S38" s="278" t="str">
        <f t="shared" si="13"/>
        <v>ERROR</v>
      </c>
      <c r="T38" s="279">
        <v>10100260.616250001</v>
      </c>
      <c r="U38" s="278" t="str">
        <f t="shared" si="10"/>
        <v>ERROR</v>
      </c>
      <c r="V38" s="1" t="s">
        <v>502</v>
      </c>
      <c r="W38" s="1" t="s">
        <v>505</v>
      </c>
      <c r="X38" s="274" t="b">
        <f>J38=[1]Sheet1!J30</f>
        <v>0</v>
      </c>
    </row>
    <row r="39" spans="1:30" ht="15" customHeight="1" x14ac:dyDescent="0.2">
      <c r="A39" s="360" t="s">
        <v>699</v>
      </c>
      <c r="B39" s="360" t="s">
        <v>562</v>
      </c>
      <c r="C39" s="269" t="str">
        <f t="shared" si="2"/>
        <v>B2L18</v>
      </c>
      <c r="D39" s="270">
        <v>2</v>
      </c>
      <c r="E39" s="271">
        <v>18</v>
      </c>
      <c r="F39" s="270"/>
      <c r="G39" s="418">
        <v>300</v>
      </c>
      <c r="H39" s="272">
        <v>26999.999999999996</v>
      </c>
      <c r="I39" s="272" t="str">
        <f t="shared" si="15"/>
        <v>Parkview</v>
      </c>
      <c r="J39" s="272">
        <f t="shared" si="3"/>
        <v>8099999.9999999991</v>
      </c>
      <c r="K39" s="272">
        <v>560000</v>
      </c>
      <c r="L39" s="273">
        <f t="shared" si="4"/>
        <v>8660000</v>
      </c>
      <c r="M39" s="273">
        <f t="shared" si="5"/>
        <v>971999.99999999988</v>
      </c>
      <c r="N39" s="273">
        <f t="shared" si="6"/>
        <v>9632000</v>
      </c>
      <c r="O39" s="273">
        <f t="shared" si="7"/>
        <v>405000</v>
      </c>
      <c r="P39" s="273">
        <f t="shared" si="8"/>
        <v>10037000</v>
      </c>
      <c r="Q39" s="406" t="str">
        <f t="shared" si="9"/>
        <v>Sold</v>
      </c>
      <c r="R39" s="296" t="s">
        <v>162</v>
      </c>
      <c r="S39" s="278" t="str">
        <f t="shared" si="13"/>
        <v>ERROR</v>
      </c>
      <c r="T39" s="279">
        <v>12768101.402000001</v>
      </c>
      <c r="U39" s="278" t="str">
        <f t="shared" si="10"/>
        <v>ERROR</v>
      </c>
      <c r="V39" s="1" t="s">
        <v>502</v>
      </c>
      <c r="W39" s="1" t="s">
        <v>505</v>
      </c>
      <c r="X39" s="274" t="b">
        <f>J39=[1]Sheet1!J31</f>
        <v>0</v>
      </c>
    </row>
    <row r="40" spans="1:30" x14ac:dyDescent="0.2">
      <c r="A40" s="360" t="s">
        <v>699</v>
      </c>
      <c r="B40" s="360" t="s">
        <v>563</v>
      </c>
      <c r="C40" s="269" t="str">
        <f t="shared" si="2"/>
        <v>B2L19</v>
      </c>
      <c r="D40" s="270">
        <v>2</v>
      </c>
      <c r="E40" s="271">
        <v>19</v>
      </c>
      <c r="F40" s="270"/>
      <c r="G40" s="418">
        <v>300</v>
      </c>
      <c r="H40" s="272">
        <v>25499.999999999996</v>
      </c>
      <c r="I40" s="272" t="str">
        <f t="shared" si="15"/>
        <v>Parkview</v>
      </c>
      <c r="J40" s="272">
        <f t="shared" si="3"/>
        <v>7649999.9999999991</v>
      </c>
      <c r="K40" s="272">
        <v>560000</v>
      </c>
      <c r="L40" s="273">
        <f t="shared" si="4"/>
        <v>8209999.9999999991</v>
      </c>
      <c r="M40" s="273">
        <f t="shared" si="5"/>
        <v>917999.99999999988</v>
      </c>
      <c r="N40" s="273">
        <f t="shared" si="6"/>
        <v>9127999.9999999981</v>
      </c>
      <c r="O40" s="273">
        <f t="shared" si="7"/>
        <v>382500</v>
      </c>
      <c r="P40" s="273">
        <f t="shared" si="8"/>
        <v>9510499.9999999981</v>
      </c>
      <c r="Q40" s="406" t="str">
        <f t="shared" si="9"/>
        <v>Sold</v>
      </c>
      <c r="R40" s="296" t="s">
        <v>163</v>
      </c>
      <c r="S40" s="278" t="str">
        <f t="shared" si="13"/>
        <v>ERROR</v>
      </c>
      <c r="T40" s="279">
        <v>10100260.616250001</v>
      </c>
      <c r="U40" s="278" t="str">
        <f t="shared" si="10"/>
        <v>ERROR</v>
      </c>
      <c r="V40" s="1" t="s">
        <v>502</v>
      </c>
      <c r="W40" s="1" t="s">
        <v>505</v>
      </c>
      <c r="X40" s="274" t="b">
        <f>J40=[1]Sheet1!J32</f>
        <v>0</v>
      </c>
    </row>
    <row r="41" spans="1:30" x14ac:dyDescent="0.2">
      <c r="A41" s="360" t="s">
        <v>699</v>
      </c>
      <c r="B41" s="360" t="s">
        <v>564</v>
      </c>
      <c r="C41" s="269" t="str">
        <f t="shared" si="2"/>
        <v>B2L20</v>
      </c>
      <c r="D41" s="270">
        <v>2</v>
      </c>
      <c r="E41" s="271">
        <v>20</v>
      </c>
      <c r="F41" s="270"/>
      <c r="G41" s="418">
        <v>350</v>
      </c>
      <c r="H41" s="272">
        <v>25499.999999999996</v>
      </c>
      <c r="I41" s="272" t="str">
        <f t="shared" si="15"/>
        <v>Parkview</v>
      </c>
      <c r="J41" s="272">
        <f t="shared" si="3"/>
        <v>8924999.9999999981</v>
      </c>
      <c r="K41" s="272">
        <v>560000</v>
      </c>
      <c r="L41" s="273">
        <f t="shared" si="4"/>
        <v>9484999.9999999981</v>
      </c>
      <c r="M41" s="273">
        <f t="shared" si="5"/>
        <v>1070999.9999999998</v>
      </c>
      <c r="N41" s="273">
        <f t="shared" si="6"/>
        <v>10555999.999999998</v>
      </c>
      <c r="O41" s="273">
        <f t="shared" si="7"/>
        <v>446249.99999999994</v>
      </c>
      <c r="P41" s="273">
        <f t="shared" si="8"/>
        <v>11002249.999999998</v>
      </c>
      <c r="Q41" s="406" t="str">
        <f t="shared" si="9"/>
        <v>Sold</v>
      </c>
      <c r="R41" s="296" t="s">
        <v>164</v>
      </c>
      <c r="S41" s="278" t="str">
        <f t="shared" si="13"/>
        <v>ERROR</v>
      </c>
      <c r="T41" s="279">
        <v>12768101.402000001</v>
      </c>
      <c r="U41" s="278" t="str">
        <f t="shared" si="10"/>
        <v>ERROR</v>
      </c>
      <c r="V41" s="1" t="s">
        <v>502</v>
      </c>
      <c r="W41" s="1" t="s">
        <v>505</v>
      </c>
      <c r="X41" s="274" t="b">
        <f>J41=[1]Sheet1!J33</f>
        <v>0</v>
      </c>
    </row>
    <row r="42" spans="1:30" x14ac:dyDescent="0.2">
      <c r="A42" s="360" t="s">
        <v>515</v>
      </c>
      <c r="B42" s="360" t="s">
        <v>565</v>
      </c>
      <c r="C42" s="269" t="str">
        <f t="shared" si="2"/>
        <v>B2L21</v>
      </c>
      <c r="D42" s="270">
        <v>2</v>
      </c>
      <c r="E42" s="271">
        <v>21</v>
      </c>
      <c r="F42" s="270"/>
      <c r="G42" s="418">
        <v>436</v>
      </c>
      <c r="H42" s="272">
        <v>27999.999999999996</v>
      </c>
      <c r="I42" s="272" t="str">
        <f>$I$6</f>
        <v>Park Lane</v>
      </c>
      <c r="J42" s="272">
        <f t="shared" si="3"/>
        <v>12207999.999999998</v>
      </c>
      <c r="K42" s="272">
        <v>560000</v>
      </c>
      <c r="L42" s="273">
        <f t="shared" si="4"/>
        <v>12767999.999999998</v>
      </c>
      <c r="M42" s="273">
        <f t="shared" si="5"/>
        <v>1464959.9999999998</v>
      </c>
      <c r="N42" s="273">
        <f t="shared" si="6"/>
        <v>14232959.999999998</v>
      </c>
      <c r="O42" s="273">
        <f t="shared" si="7"/>
        <v>610399.99999999988</v>
      </c>
      <c r="P42" s="273">
        <f t="shared" si="8"/>
        <v>14843359.999999998</v>
      </c>
      <c r="Q42" s="406" t="str">
        <f t="shared" si="9"/>
        <v>Available</v>
      </c>
      <c r="R42" s="296" t="s">
        <v>165</v>
      </c>
      <c r="S42" s="278" t="str">
        <f t="shared" si="13"/>
        <v>ERROR</v>
      </c>
      <c r="T42" s="279">
        <v>12768101.402000001</v>
      </c>
      <c r="U42" s="278" t="str">
        <f t="shared" si="10"/>
        <v>ERROR</v>
      </c>
      <c r="X42" s="274" t="b">
        <f>J42=[1]Sheet1!J34</f>
        <v>0</v>
      </c>
    </row>
    <row r="43" spans="1:30" x14ac:dyDescent="0.2">
      <c r="A43" s="360" t="s">
        <v>699</v>
      </c>
      <c r="B43" s="360" t="s">
        <v>566</v>
      </c>
      <c r="C43" s="269" t="str">
        <f t="shared" si="2"/>
        <v>B3L1</v>
      </c>
      <c r="D43" s="407">
        <v>3</v>
      </c>
      <c r="E43" s="408">
        <v>1</v>
      </c>
      <c r="F43" s="407"/>
      <c r="G43" s="417">
        <v>391</v>
      </c>
      <c r="H43" s="409">
        <f>26000*1.05</f>
        <v>27300</v>
      </c>
      <c r="I43" s="409" t="str">
        <f>$I$6</f>
        <v>Park Lane</v>
      </c>
      <c r="J43" s="409">
        <f>ROUNDUP((H43*G43),-4)</f>
        <v>10680000</v>
      </c>
      <c r="K43" s="409">
        <v>560000</v>
      </c>
      <c r="L43" s="410">
        <f t="shared" si="4"/>
        <v>11240000</v>
      </c>
      <c r="M43" s="410">
        <f t="shared" si="5"/>
        <v>1281600</v>
      </c>
      <c r="N43" s="410">
        <f t="shared" si="6"/>
        <v>12521600</v>
      </c>
      <c r="O43" s="410">
        <f t="shared" si="7"/>
        <v>534000</v>
      </c>
      <c r="P43" s="410">
        <f t="shared" si="8"/>
        <v>13055600</v>
      </c>
      <c r="Q43" s="411" t="str">
        <f t="shared" si="9"/>
        <v>Sold</v>
      </c>
      <c r="R43" s="296" t="s">
        <v>166</v>
      </c>
      <c r="S43" s="278" t="str">
        <f t="shared" si="13"/>
        <v>ERROR</v>
      </c>
      <c r="T43" s="279">
        <v>16671935.48825</v>
      </c>
      <c r="U43" s="278" t="str">
        <f t="shared" si="10"/>
        <v>ERROR</v>
      </c>
      <c r="X43" s="274" t="b">
        <f>J43=[1]Sheet1!J35</f>
        <v>0</v>
      </c>
      <c r="Y43" s="274"/>
      <c r="Z43" s="274"/>
      <c r="AA43" s="274"/>
      <c r="AB43" s="274"/>
      <c r="AC43" s="274"/>
      <c r="AD43" s="274"/>
    </row>
    <row r="44" spans="1:30" x14ac:dyDescent="0.2">
      <c r="A44" s="360" t="s">
        <v>699</v>
      </c>
      <c r="B44" s="360" t="s">
        <v>567</v>
      </c>
      <c r="C44" s="269" t="str">
        <f t="shared" si="2"/>
        <v>B3L2</v>
      </c>
      <c r="D44" s="407">
        <v>3</v>
      </c>
      <c r="E44" s="408">
        <v>2</v>
      </c>
      <c r="F44" s="407"/>
      <c r="G44" s="417">
        <v>300</v>
      </c>
      <c r="H44" s="409">
        <f>23000*1.05</f>
        <v>24150</v>
      </c>
      <c r="I44" s="409" t="str">
        <f t="shared" ref="I44:I51" si="16">$I$7</f>
        <v>Parkview</v>
      </c>
      <c r="J44" s="409">
        <f t="shared" ref="J44:J62" si="17">ROUNDUP((H44*G44),-4)</f>
        <v>7250000</v>
      </c>
      <c r="K44" s="409">
        <v>560000</v>
      </c>
      <c r="L44" s="410">
        <f t="shared" si="4"/>
        <v>7810000</v>
      </c>
      <c r="M44" s="410">
        <f t="shared" si="5"/>
        <v>870000</v>
      </c>
      <c r="N44" s="410">
        <f t="shared" si="6"/>
        <v>8680000</v>
      </c>
      <c r="O44" s="410">
        <f t="shared" si="7"/>
        <v>362500</v>
      </c>
      <c r="P44" s="410">
        <f t="shared" si="8"/>
        <v>9042500</v>
      </c>
      <c r="Q44" s="411" t="str">
        <f t="shared" si="9"/>
        <v>Sold</v>
      </c>
      <c r="R44" s="296" t="s">
        <v>167</v>
      </c>
      <c r="S44" s="278" t="str">
        <f t="shared" si="13"/>
        <v>ERROR</v>
      </c>
      <c r="T44" s="279">
        <v>25218951.493749999</v>
      </c>
      <c r="U44" s="278" t="str">
        <f t="shared" si="10"/>
        <v>ERROR</v>
      </c>
      <c r="V44" s="1" t="s">
        <v>502</v>
      </c>
      <c r="W44" s="1" t="s">
        <v>505</v>
      </c>
      <c r="X44" s="274" t="b">
        <f>J44=[1]Sheet1!J36</f>
        <v>0</v>
      </c>
    </row>
    <row r="45" spans="1:30" ht="15" customHeight="1" x14ac:dyDescent="0.2">
      <c r="A45" s="360" t="s">
        <v>699</v>
      </c>
      <c r="B45" s="360" t="s">
        <v>568</v>
      </c>
      <c r="C45" s="269" t="str">
        <f t="shared" si="2"/>
        <v>B3L3</v>
      </c>
      <c r="D45" s="407">
        <v>3</v>
      </c>
      <c r="E45" s="408">
        <v>3</v>
      </c>
      <c r="F45" s="407"/>
      <c r="G45" s="417">
        <v>300</v>
      </c>
      <c r="H45" s="409">
        <f>24000*1.05</f>
        <v>25200</v>
      </c>
      <c r="I45" s="409" t="str">
        <f t="shared" si="16"/>
        <v>Parkview</v>
      </c>
      <c r="J45" s="409">
        <f t="shared" si="17"/>
        <v>7560000</v>
      </c>
      <c r="K45" s="409">
        <v>560000</v>
      </c>
      <c r="L45" s="410">
        <f t="shared" si="4"/>
        <v>8120000</v>
      </c>
      <c r="M45" s="410">
        <f t="shared" si="5"/>
        <v>907200</v>
      </c>
      <c r="N45" s="410">
        <f t="shared" si="6"/>
        <v>9027200</v>
      </c>
      <c r="O45" s="410">
        <f t="shared" si="7"/>
        <v>378000</v>
      </c>
      <c r="P45" s="410">
        <f t="shared" si="8"/>
        <v>9405200</v>
      </c>
      <c r="Q45" s="411" t="str">
        <f t="shared" si="9"/>
        <v>Sold</v>
      </c>
      <c r="R45" s="296" t="s">
        <v>168</v>
      </c>
      <c r="S45" s="278" t="str">
        <f t="shared" si="13"/>
        <v>ERROR</v>
      </c>
      <c r="T45" s="279">
        <v>15401673.279999999</v>
      </c>
      <c r="U45" s="278" t="str">
        <f t="shared" si="10"/>
        <v>ERROR</v>
      </c>
      <c r="V45" s="1" t="s">
        <v>502</v>
      </c>
      <c r="W45" s="1" t="s">
        <v>505</v>
      </c>
      <c r="X45" s="274" t="b">
        <f>J45=[1]Sheet1!J37</f>
        <v>0</v>
      </c>
    </row>
    <row r="46" spans="1:30" x14ac:dyDescent="0.2">
      <c r="A46" s="360" t="s">
        <v>699</v>
      </c>
      <c r="B46" s="360" t="s">
        <v>569</v>
      </c>
      <c r="C46" s="269" t="str">
        <f t="shared" si="2"/>
        <v>B3L5</v>
      </c>
      <c r="D46" s="407">
        <v>3</v>
      </c>
      <c r="E46" s="408">
        <v>5</v>
      </c>
      <c r="F46" s="407"/>
      <c r="G46" s="417">
        <v>311</v>
      </c>
      <c r="H46" s="409">
        <f>24000*1.05</f>
        <v>25200</v>
      </c>
      <c r="I46" s="409" t="str">
        <f t="shared" si="16"/>
        <v>Parkview</v>
      </c>
      <c r="J46" s="409">
        <f t="shared" si="17"/>
        <v>7840000</v>
      </c>
      <c r="K46" s="409">
        <v>560000</v>
      </c>
      <c r="L46" s="410">
        <f t="shared" si="4"/>
        <v>8400000</v>
      </c>
      <c r="M46" s="410">
        <f t="shared" si="5"/>
        <v>940800</v>
      </c>
      <c r="N46" s="410">
        <f t="shared" si="6"/>
        <v>9340800</v>
      </c>
      <c r="O46" s="410">
        <f t="shared" si="7"/>
        <v>392000</v>
      </c>
      <c r="P46" s="410">
        <f t="shared" si="8"/>
        <v>9732800</v>
      </c>
      <c r="Q46" s="411" t="str">
        <f t="shared" si="9"/>
        <v>Sold</v>
      </c>
      <c r="R46" s="296" t="s">
        <v>169</v>
      </c>
      <c r="S46" s="278" t="str">
        <f t="shared" si="13"/>
        <v>ERROR</v>
      </c>
      <c r="T46" s="279">
        <v>10388972.6395</v>
      </c>
      <c r="U46" s="278" t="str">
        <f t="shared" si="10"/>
        <v>ERROR</v>
      </c>
      <c r="V46" s="1" t="s">
        <v>502</v>
      </c>
      <c r="W46" s="1" t="s">
        <v>505</v>
      </c>
      <c r="X46" s="274" t="b">
        <f>J46=[1]Sheet1!J38</f>
        <v>0</v>
      </c>
    </row>
    <row r="47" spans="1:30" ht="15" customHeight="1" x14ac:dyDescent="0.2">
      <c r="A47" s="360" t="s">
        <v>699</v>
      </c>
      <c r="B47" s="360" t="s">
        <v>570</v>
      </c>
      <c r="C47" s="269" t="str">
        <f t="shared" si="2"/>
        <v>B3L6</v>
      </c>
      <c r="D47" s="407">
        <v>3</v>
      </c>
      <c r="E47" s="408">
        <v>6</v>
      </c>
      <c r="F47" s="407"/>
      <c r="G47" s="417">
        <v>304</v>
      </c>
      <c r="H47" s="409">
        <f>24000*1.05</f>
        <v>25200</v>
      </c>
      <c r="I47" s="409" t="str">
        <f t="shared" si="16"/>
        <v>Parkview</v>
      </c>
      <c r="J47" s="409">
        <f t="shared" si="17"/>
        <v>7670000</v>
      </c>
      <c r="K47" s="409">
        <v>560000</v>
      </c>
      <c r="L47" s="410">
        <f t="shared" si="4"/>
        <v>8230000</v>
      </c>
      <c r="M47" s="410">
        <f t="shared" si="5"/>
        <v>920400</v>
      </c>
      <c r="N47" s="410">
        <f t="shared" si="6"/>
        <v>9150400</v>
      </c>
      <c r="O47" s="410">
        <f t="shared" si="7"/>
        <v>383500</v>
      </c>
      <c r="P47" s="410">
        <f t="shared" si="8"/>
        <v>9533900</v>
      </c>
      <c r="Q47" s="411" t="str">
        <f t="shared" si="9"/>
        <v>Sold</v>
      </c>
      <c r="R47" s="296" t="s">
        <v>170</v>
      </c>
      <c r="S47" s="278" t="str">
        <f t="shared" si="13"/>
        <v>ERROR</v>
      </c>
      <c r="T47" s="279">
        <v>15401673.279999999</v>
      </c>
      <c r="U47" s="278" t="str">
        <f t="shared" si="10"/>
        <v>ERROR</v>
      </c>
      <c r="V47" s="1" t="s">
        <v>502</v>
      </c>
      <c r="W47" s="1" t="s">
        <v>505</v>
      </c>
      <c r="X47" s="274" t="b">
        <f>J47=[1]Sheet1!J39</f>
        <v>0</v>
      </c>
    </row>
    <row r="48" spans="1:30" x14ac:dyDescent="0.2">
      <c r="A48" s="360" t="s">
        <v>699</v>
      </c>
      <c r="B48" s="360" t="s">
        <v>571</v>
      </c>
      <c r="C48" s="269" t="str">
        <f t="shared" si="2"/>
        <v>B3L7</v>
      </c>
      <c r="D48" s="407">
        <v>3</v>
      </c>
      <c r="E48" s="408">
        <v>7</v>
      </c>
      <c r="F48" s="407"/>
      <c r="G48" s="417">
        <v>300</v>
      </c>
      <c r="H48" s="409">
        <f>23000*1.05</f>
        <v>24150</v>
      </c>
      <c r="I48" s="409" t="str">
        <f t="shared" si="16"/>
        <v>Parkview</v>
      </c>
      <c r="J48" s="409">
        <f t="shared" si="17"/>
        <v>7250000</v>
      </c>
      <c r="K48" s="409">
        <v>560000</v>
      </c>
      <c r="L48" s="410">
        <f t="shared" si="4"/>
        <v>7810000</v>
      </c>
      <c r="M48" s="410">
        <f t="shared" si="5"/>
        <v>870000</v>
      </c>
      <c r="N48" s="410">
        <f t="shared" si="6"/>
        <v>8680000</v>
      </c>
      <c r="O48" s="410">
        <f t="shared" si="7"/>
        <v>362500</v>
      </c>
      <c r="P48" s="410">
        <f t="shared" si="8"/>
        <v>9042500</v>
      </c>
      <c r="Q48" s="411" t="str">
        <f t="shared" si="9"/>
        <v>Sold</v>
      </c>
      <c r="R48" s="296" t="s">
        <v>171</v>
      </c>
      <c r="S48" s="278" t="str">
        <f t="shared" si="13"/>
        <v>ERROR</v>
      </c>
      <c r="T48" s="279">
        <v>10423667.1175</v>
      </c>
      <c r="U48" s="278" t="str">
        <f t="shared" si="10"/>
        <v>ERROR</v>
      </c>
      <c r="V48" s="1" t="s">
        <v>502</v>
      </c>
      <c r="W48" s="1" t="s">
        <v>505</v>
      </c>
      <c r="X48" s="274" t="b">
        <f>J48=[1]Sheet1!J40</f>
        <v>0</v>
      </c>
    </row>
    <row r="49" spans="1:24" ht="15" customHeight="1" x14ac:dyDescent="0.2">
      <c r="A49" s="360" t="s">
        <v>699</v>
      </c>
      <c r="B49" s="360" t="s">
        <v>572</v>
      </c>
      <c r="C49" s="269" t="str">
        <f t="shared" si="2"/>
        <v>B3L8</v>
      </c>
      <c r="D49" s="407">
        <v>3</v>
      </c>
      <c r="E49" s="408">
        <v>8</v>
      </c>
      <c r="F49" s="407"/>
      <c r="G49" s="417">
        <v>300</v>
      </c>
      <c r="H49" s="409">
        <f>23000*1.05</f>
        <v>24150</v>
      </c>
      <c r="I49" s="409" t="str">
        <f t="shared" si="16"/>
        <v>Parkview</v>
      </c>
      <c r="J49" s="409">
        <f t="shared" si="17"/>
        <v>7250000</v>
      </c>
      <c r="K49" s="409">
        <v>560000</v>
      </c>
      <c r="L49" s="410">
        <f t="shared" si="4"/>
        <v>7810000</v>
      </c>
      <c r="M49" s="410">
        <f t="shared" si="5"/>
        <v>870000</v>
      </c>
      <c r="N49" s="410">
        <f t="shared" si="6"/>
        <v>8680000</v>
      </c>
      <c r="O49" s="410">
        <f t="shared" si="7"/>
        <v>362500</v>
      </c>
      <c r="P49" s="410">
        <f t="shared" si="8"/>
        <v>9042500</v>
      </c>
      <c r="Q49" s="411" t="str">
        <f t="shared" si="9"/>
        <v>Sold</v>
      </c>
      <c r="R49" s="296" t="s">
        <v>172</v>
      </c>
      <c r="S49" s="278" t="str">
        <f t="shared" si="13"/>
        <v>ERROR</v>
      </c>
      <c r="T49" s="279">
        <v>15424823.119999999</v>
      </c>
      <c r="U49" s="278" t="str">
        <f t="shared" si="10"/>
        <v>ERROR</v>
      </c>
      <c r="V49" s="1" t="s">
        <v>502</v>
      </c>
      <c r="W49" s="1" t="s">
        <v>505</v>
      </c>
      <c r="X49" s="274" t="b">
        <f>J49=[1]Sheet1!J41</f>
        <v>0</v>
      </c>
    </row>
    <row r="50" spans="1:24" x14ac:dyDescent="0.2">
      <c r="A50" s="360" t="s">
        <v>699</v>
      </c>
      <c r="B50" s="360" t="s">
        <v>573</v>
      </c>
      <c r="C50" s="269" t="str">
        <f t="shared" si="2"/>
        <v>B3L9</v>
      </c>
      <c r="D50" s="407">
        <v>3</v>
      </c>
      <c r="E50" s="408">
        <v>9</v>
      </c>
      <c r="F50" s="407"/>
      <c r="G50" s="417">
        <v>304</v>
      </c>
      <c r="H50" s="409">
        <f>23000*1.05</f>
        <v>24150</v>
      </c>
      <c r="I50" s="409" t="str">
        <f t="shared" si="16"/>
        <v>Parkview</v>
      </c>
      <c r="J50" s="409">
        <f t="shared" si="17"/>
        <v>7350000</v>
      </c>
      <c r="K50" s="409">
        <v>560000</v>
      </c>
      <c r="L50" s="410">
        <f t="shared" si="4"/>
        <v>7910000</v>
      </c>
      <c r="M50" s="410">
        <f t="shared" si="5"/>
        <v>882000</v>
      </c>
      <c r="N50" s="410">
        <f t="shared" si="6"/>
        <v>8792000</v>
      </c>
      <c r="O50" s="410">
        <f t="shared" si="7"/>
        <v>367500</v>
      </c>
      <c r="P50" s="410">
        <f t="shared" si="8"/>
        <v>9159500</v>
      </c>
      <c r="Q50" s="411" t="str">
        <f t="shared" si="9"/>
        <v>Sold</v>
      </c>
      <c r="R50" s="296" t="s">
        <v>173</v>
      </c>
      <c r="S50" s="278" t="str">
        <f t="shared" si="13"/>
        <v>ERROR</v>
      </c>
      <c r="T50" s="279">
        <v>11324364.1</v>
      </c>
      <c r="U50" s="278" t="str">
        <f t="shared" si="10"/>
        <v>ERROR</v>
      </c>
      <c r="V50" s="1" t="s">
        <v>502</v>
      </c>
      <c r="W50" s="1" t="s">
        <v>505</v>
      </c>
      <c r="X50" s="274" t="b">
        <f>J50=[1]Sheet1!J42</f>
        <v>0</v>
      </c>
    </row>
    <row r="51" spans="1:24" x14ac:dyDescent="0.2">
      <c r="A51" s="360" t="s">
        <v>699</v>
      </c>
      <c r="B51" s="360" t="s">
        <v>574</v>
      </c>
      <c r="C51" s="269" t="str">
        <f t="shared" si="2"/>
        <v>B3L10</v>
      </c>
      <c r="D51" s="407">
        <v>3</v>
      </c>
      <c r="E51" s="408">
        <v>10</v>
      </c>
      <c r="F51" s="407"/>
      <c r="G51" s="417">
        <v>381</v>
      </c>
      <c r="H51" s="409">
        <f>23000*1.05</f>
        <v>24150</v>
      </c>
      <c r="I51" s="409" t="str">
        <f t="shared" si="16"/>
        <v>Parkview</v>
      </c>
      <c r="J51" s="409">
        <f t="shared" si="17"/>
        <v>9210000</v>
      </c>
      <c r="K51" s="409">
        <v>560000</v>
      </c>
      <c r="L51" s="410">
        <f t="shared" si="4"/>
        <v>9770000</v>
      </c>
      <c r="M51" s="410">
        <f t="shared" si="5"/>
        <v>1105200</v>
      </c>
      <c r="N51" s="410">
        <f t="shared" si="6"/>
        <v>10875200</v>
      </c>
      <c r="O51" s="410">
        <f t="shared" si="7"/>
        <v>460500</v>
      </c>
      <c r="P51" s="410">
        <f t="shared" si="8"/>
        <v>11335700</v>
      </c>
      <c r="Q51" s="411" t="str">
        <f t="shared" si="9"/>
        <v>Sold</v>
      </c>
      <c r="R51" s="296" t="s">
        <v>174</v>
      </c>
      <c r="S51" s="278" t="str">
        <f t="shared" si="13"/>
        <v>ERROR</v>
      </c>
      <c r="T51" s="279">
        <v>12918410.973999999</v>
      </c>
      <c r="U51" s="278" t="str">
        <f t="shared" si="10"/>
        <v>ERROR</v>
      </c>
      <c r="V51" s="1" t="s">
        <v>502</v>
      </c>
      <c r="W51" s="1" t="s">
        <v>505</v>
      </c>
      <c r="X51" s="274" t="b">
        <f>J51=[1]Sheet1!J43</f>
        <v>0</v>
      </c>
    </row>
    <row r="52" spans="1:24" x14ac:dyDescent="0.2">
      <c r="A52" s="360" t="s">
        <v>699</v>
      </c>
      <c r="B52" s="360" t="s">
        <v>575</v>
      </c>
      <c r="C52" s="269" t="str">
        <f t="shared" si="2"/>
        <v>B3L11</v>
      </c>
      <c r="D52" s="407">
        <v>3</v>
      </c>
      <c r="E52" s="408">
        <v>11</v>
      </c>
      <c r="F52" s="407"/>
      <c r="G52" s="417">
        <v>343</v>
      </c>
      <c r="H52" s="409">
        <f>23000*1.05</f>
        <v>24150</v>
      </c>
      <c r="I52" s="409" t="str">
        <f>$I$6</f>
        <v>Park Lane</v>
      </c>
      <c r="J52" s="409">
        <f t="shared" si="17"/>
        <v>8290000</v>
      </c>
      <c r="K52" s="409">
        <v>560000</v>
      </c>
      <c r="L52" s="410">
        <f t="shared" si="4"/>
        <v>8850000</v>
      </c>
      <c r="M52" s="410">
        <f t="shared" si="5"/>
        <v>994800</v>
      </c>
      <c r="N52" s="410">
        <f t="shared" si="6"/>
        <v>9844800</v>
      </c>
      <c r="O52" s="410">
        <f t="shared" si="7"/>
        <v>414500</v>
      </c>
      <c r="P52" s="410">
        <f t="shared" si="8"/>
        <v>10259300</v>
      </c>
      <c r="Q52" s="411" t="str">
        <f t="shared" si="9"/>
        <v>Sold</v>
      </c>
      <c r="R52" s="296" t="s">
        <v>175</v>
      </c>
      <c r="S52" s="278" t="str">
        <f t="shared" si="13"/>
        <v>ERROR</v>
      </c>
      <c r="T52" s="279">
        <v>11278378.776000001</v>
      </c>
      <c r="U52" s="278" t="str">
        <f t="shared" si="10"/>
        <v>ERROR</v>
      </c>
      <c r="V52" s="1" t="s">
        <v>502</v>
      </c>
      <c r="W52" s="1" t="s">
        <v>505</v>
      </c>
      <c r="X52" s="274" t="b">
        <f>J52=[1]Sheet1!J44</f>
        <v>0</v>
      </c>
    </row>
    <row r="53" spans="1:24" x14ac:dyDescent="0.2">
      <c r="A53" s="360" t="s">
        <v>699</v>
      </c>
      <c r="B53" s="360" t="s">
        <v>576</v>
      </c>
      <c r="C53" s="269" t="str">
        <f t="shared" si="2"/>
        <v>B5L1</v>
      </c>
      <c r="D53" s="270">
        <v>5</v>
      </c>
      <c r="E53" s="271">
        <v>1</v>
      </c>
      <c r="F53" s="270"/>
      <c r="G53" s="418">
        <v>360</v>
      </c>
      <c r="H53" s="272">
        <f>27000*1.05</f>
        <v>28350</v>
      </c>
      <c r="I53" s="272" t="str">
        <f>$I$6</f>
        <v>Park Lane</v>
      </c>
      <c r="J53" s="272">
        <f t="shared" si="17"/>
        <v>10210000</v>
      </c>
      <c r="K53" s="272">
        <v>560000</v>
      </c>
      <c r="L53" s="273">
        <f t="shared" si="4"/>
        <v>10770000</v>
      </c>
      <c r="M53" s="273">
        <f t="shared" si="5"/>
        <v>1225200</v>
      </c>
      <c r="N53" s="273">
        <f t="shared" si="6"/>
        <v>11995200</v>
      </c>
      <c r="O53" s="273">
        <f t="shared" si="7"/>
        <v>510500</v>
      </c>
      <c r="P53" s="273">
        <f t="shared" si="8"/>
        <v>12505700</v>
      </c>
      <c r="Q53" s="406" t="str">
        <f t="shared" si="9"/>
        <v>Sold</v>
      </c>
      <c r="R53" s="296" t="s">
        <v>176</v>
      </c>
      <c r="S53" s="278" t="str">
        <f t="shared" si="13"/>
        <v>ERROR</v>
      </c>
      <c r="T53" s="279">
        <v>12918410.973999999</v>
      </c>
      <c r="U53" s="278" t="str">
        <f t="shared" si="10"/>
        <v>ERROR</v>
      </c>
      <c r="V53" s="1" t="s">
        <v>502</v>
      </c>
      <c r="W53" s="1" t="s">
        <v>505</v>
      </c>
      <c r="X53" s="274" t="b">
        <f>J53=[1]Sheet1!J45</f>
        <v>0</v>
      </c>
    </row>
    <row r="54" spans="1:24" x14ac:dyDescent="0.2">
      <c r="A54" s="360" t="s">
        <v>699</v>
      </c>
      <c r="B54" s="360" t="s">
        <v>577</v>
      </c>
      <c r="C54" s="269" t="str">
        <f t="shared" si="2"/>
        <v>B5L2</v>
      </c>
      <c r="D54" s="270">
        <v>5</v>
      </c>
      <c r="E54" s="271">
        <v>2</v>
      </c>
      <c r="F54" s="270"/>
      <c r="G54" s="418">
        <v>350</v>
      </c>
      <c r="H54" s="272">
        <f>27000*1.05</f>
        <v>28350</v>
      </c>
      <c r="I54" s="272" t="str">
        <f>I6</f>
        <v>Park Lane</v>
      </c>
      <c r="J54" s="272">
        <f t="shared" si="17"/>
        <v>9930000</v>
      </c>
      <c r="K54" s="272">
        <v>560000</v>
      </c>
      <c r="L54" s="273">
        <f t="shared" si="4"/>
        <v>10490000</v>
      </c>
      <c r="M54" s="273">
        <f t="shared" si="5"/>
        <v>1191600</v>
      </c>
      <c r="N54" s="273">
        <f t="shared" si="6"/>
        <v>11681600</v>
      </c>
      <c r="O54" s="273">
        <f t="shared" si="7"/>
        <v>496500</v>
      </c>
      <c r="P54" s="273">
        <f t="shared" si="8"/>
        <v>12178100</v>
      </c>
      <c r="Q54" s="406" t="str">
        <f t="shared" si="9"/>
        <v>Sold</v>
      </c>
      <c r="R54" s="296" t="s">
        <v>177</v>
      </c>
      <c r="S54" s="278" t="str">
        <f t="shared" si="13"/>
        <v>ERROR</v>
      </c>
      <c r="T54" s="279">
        <v>10319614.86675</v>
      </c>
      <c r="U54" s="278" t="str">
        <f t="shared" si="10"/>
        <v>ERROR</v>
      </c>
      <c r="V54" s="1" t="s">
        <v>502</v>
      </c>
      <c r="W54" s="1" t="s">
        <v>505</v>
      </c>
      <c r="X54" s="274" t="b">
        <f>J54=[1]Sheet1!J46</f>
        <v>0</v>
      </c>
    </row>
    <row r="55" spans="1:24" ht="15" customHeight="1" x14ac:dyDescent="0.2">
      <c r="A55" s="360" t="s">
        <v>515</v>
      </c>
      <c r="B55" s="360" t="s">
        <v>578</v>
      </c>
      <c r="C55" s="269" t="str">
        <f t="shared" si="2"/>
        <v>B5L3</v>
      </c>
      <c r="D55" s="270">
        <v>5</v>
      </c>
      <c r="E55" s="271">
        <v>3</v>
      </c>
      <c r="F55" s="270"/>
      <c r="G55" s="418">
        <v>334</v>
      </c>
      <c r="H55" s="272">
        <f>28500*1.05</f>
        <v>29925</v>
      </c>
      <c r="I55" s="272" t="str">
        <f t="shared" ref="I55:I61" si="18">$I$7</f>
        <v>Parkview</v>
      </c>
      <c r="J55" s="272">
        <f t="shared" si="17"/>
        <v>10000000</v>
      </c>
      <c r="K55" s="272">
        <v>560000</v>
      </c>
      <c r="L55" s="273">
        <f t="shared" si="4"/>
        <v>10560000</v>
      </c>
      <c r="M55" s="273">
        <f t="shared" si="5"/>
        <v>1200000</v>
      </c>
      <c r="N55" s="273">
        <f t="shared" si="6"/>
        <v>11760000</v>
      </c>
      <c r="O55" s="273">
        <f t="shared" si="7"/>
        <v>500000</v>
      </c>
      <c r="P55" s="273">
        <f t="shared" si="8"/>
        <v>12260000</v>
      </c>
      <c r="Q55" s="406" t="str">
        <f t="shared" si="9"/>
        <v>Available</v>
      </c>
      <c r="R55" s="296" t="s">
        <v>178</v>
      </c>
      <c r="S55" s="278" t="str">
        <f t="shared" si="13"/>
        <v>ERROR</v>
      </c>
      <c r="T55" s="279">
        <v>12918410.973999999</v>
      </c>
      <c r="U55" s="278" t="str">
        <f t="shared" si="10"/>
        <v>ERROR</v>
      </c>
      <c r="V55" s="1" t="s">
        <v>502</v>
      </c>
      <c r="W55" s="1" t="s">
        <v>505</v>
      </c>
      <c r="X55" s="274" t="b">
        <f>J55=[1]Sheet1!J47</f>
        <v>0</v>
      </c>
    </row>
    <row r="56" spans="1:24" x14ac:dyDescent="0.2">
      <c r="A56" s="360" t="s">
        <v>699</v>
      </c>
      <c r="B56" s="360" t="s">
        <v>579</v>
      </c>
      <c r="C56" s="269" t="str">
        <f t="shared" si="2"/>
        <v>B5L5</v>
      </c>
      <c r="D56" s="270">
        <v>5</v>
      </c>
      <c r="E56" s="271">
        <v>5</v>
      </c>
      <c r="F56" s="270"/>
      <c r="G56" s="418">
        <v>302</v>
      </c>
      <c r="H56" s="272">
        <f>25000*1.05</f>
        <v>26250</v>
      </c>
      <c r="I56" s="272" t="str">
        <f t="shared" si="18"/>
        <v>Parkview</v>
      </c>
      <c r="J56" s="272">
        <f t="shared" si="17"/>
        <v>7930000</v>
      </c>
      <c r="K56" s="272">
        <v>560000</v>
      </c>
      <c r="L56" s="273">
        <f t="shared" si="4"/>
        <v>8490000</v>
      </c>
      <c r="M56" s="273">
        <f t="shared" si="5"/>
        <v>951600</v>
      </c>
      <c r="N56" s="273">
        <f t="shared" si="6"/>
        <v>9441600</v>
      </c>
      <c r="O56" s="273">
        <f t="shared" si="7"/>
        <v>396500</v>
      </c>
      <c r="P56" s="273">
        <f t="shared" si="8"/>
        <v>9838100</v>
      </c>
      <c r="Q56" s="406" t="str">
        <f t="shared" si="9"/>
        <v>Sold</v>
      </c>
      <c r="R56" s="296" t="s">
        <v>179</v>
      </c>
      <c r="S56" s="278" t="str">
        <f t="shared" si="13"/>
        <v>ERROR</v>
      </c>
      <c r="T56" s="279">
        <v>10354301.41375</v>
      </c>
      <c r="U56" s="278" t="str">
        <f t="shared" si="10"/>
        <v>ERROR</v>
      </c>
      <c r="V56" s="1" t="s">
        <v>502</v>
      </c>
      <c r="W56" s="1" t="s">
        <v>505</v>
      </c>
      <c r="X56" s="274" t="b">
        <f>J56=[1]Sheet1!J48</f>
        <v>0</v>
      </c>
    </row>
    <row r="57" spans="1:24" x14ac:dyDescent="0.2">
      <c r="A57" s="360" t="s">
        <v>699</v>
      </c>
      <c r="B57" s="360" t="s">
        <v>580</v>
      </c>
      <c r="C57" s="269" t="str">
        <f t="shared" si="2"/>
        <v>B5L6</v>
      </c>
      <c r="D57" s="270">
        <v>5</v>
      </c>
      <c r="E57" s="271">
        <v>6</v>
      </c>
      <c r="F57" s="270"/>
      <c r="G57" s="418">
        <v>302</v>
      </c>
      <c r="H57" s="272">
        <f>25000*1.05</f>
        <v>26250</v>
      </c>
      <c r="I57" s="272" t="str">
        <f t="shared" si="18"/>
        <v>Parkview</v>
      </c>
      <c r="J57" s="272">
        <f t="shared" si="17"/>
        <v>7930000</v>
      </c>
      <c r="K57" s="272">
        <v>560000</v>
      </c>
      <c r="L57" s="273">
        <f t="shared" si="4"/>
        <v>8490000</v>
      </c>
      <c r="M57" s="273">
        <f t="shared" si="5"/>
        <v>951600</v>
      </c>
      <c r="N57" s="273">
        <f t="shared" si="6"/>
        <v>9441600</v>
      </c>
      <c r="O57" s="273">
        <f t="shared" si="7"/>
        <v>396500</v>
      </c>
      <c r="P57" s="273">
        <f t="shared" si="8"/>
        <v>9838100</v>
      </c>
      <c r="Q57" s="406" t="str">
        <f t="shared" si="9"/>
        <v>Sold</v>
      </c>
      <c r="R57" s="296" t="s">
        <v>180</v>
      </c>
      <c r="S57" s="278" t="str">
        <f t="shared" si="13"/>
        <v>ERROR</v>
      </c>
      <c r="T57" s="279">
        <v>12941412.828749999</v>
      </c>
      <c r="U57" s="278" t="str">
        <f t="shared" si="10"/>
        <v>ERROR</v>
      </c>
      <c r="V57" s="1" t="s">
        <v>502</v>
      </c>
      <c r="W57" s="1" t="s">
        <v>505</v>
      </c>
      <c r="X57" s="274" t="b">
        <f>J57=[1]Sheet1!J49</f>
        <v>0</v>
      </c>
    </row>
    <row r="58" spans="1:24" x14ac:dyDescent="0.2">
      <c r="A58" s="360" t="s">
        <v>699</v>
      </c>
      <c r="B58" s="360" t="s">
        <v>581</v>
      </c>
      <c r="C58" s="269" t="str">
        <f t="shared" si="2"/>
        <v>B5L7</v>
      </c>
      <c r="D58" s="270">
        <v>5</v>
      </c>
      <c r="E58" s="271">
        <v>7</v>
      </c>
      <c r="F58" s="270"/>
      <c r="G58" s="418">
        <v>302</v>
      </c>
      <c r="H58" s="272">
        <f>25000*1.05</f>
        <v>26250</v>
      </c>
      <c r="I58" s="272" t="str">
        <f t="shared" si="18"/>
        <v>Parkview</v>
      </c>
      <c r="J58" s="272">
        <f t="shared" si="17"/>
        <v>7930000</v>
      </c>
      <c r="K58" s="272">
        <v>560000</v>
      </c>
      <c r="L58" s="273">
        <f t="shared" si="4"/>
        <v>8490000</v>
      </c>
      <c r="M58" s="273">
        <f t="shared" si="5"/>
        <v>951600</v>
      </c>
      <c r="N58" s="273">
        <f t="shared" si="6"/>
        <v>9441600</v>
      </c>
      <c r="O58" s="273">
        <f t="shared" si="7"/>
        <v>396500</v>
      </c>
      <c r="P58" s="273">
        <f t="shared" si="8"/>
        <v>9838100</v>
      </c>
      <c r="Q58" s="406" t="str">
        <f t="shared" si="9"/>
        <v>Sold</v>
      </c>
      <c r="R58" s="296" t="s">
        <v>181</v>
      </c>
      <c r="S58" s="278" t="str">
        <f t="shared" si="13"/>
        <v>ERROR</v>
      </c>
      <c r="T58" s="279">
        <v>10284837.563875001</v>
      </c>
      <c r="U58" s="278" t="str">
        <f t="shared" si="10"/>
        <v>ERROR</v>
      </c>
      <c r="V58" s="1" t="s">
        <v>502</v>
      </c>
      <c r="W58" s="1" t="s">
        <v>505</v>
      </c>
      <c r="X58" s="274" t="b">
        <f>J58=[1]Sheet1!J50</f>
        <v>0</v>
      </c>
    </row>
    <row r="59" spans="1:24" ht="15" customHeight="1" x14ac:dyDescent="0.2">
      <c r="A59" s="360" t="s">
        <v>699</v>
      </c>
      <c r="B59" s="360" t="s">
        <v>582</v>
      </c>
      <c r="C59" s="269" t="str">
        <f t="shared" si="2"/>
        <v>B5L8</v>
      </c>
      <c r="D59" s="270">
        <v>5</v>
      </c>
      <c r="E59" s="271">
        <v>8</v>
      </c>
      <c r="F59" s="270"/>
      <c r="G59" s="418">
        <v>302</v>
      </c>
      <c r="H59" s="272">
        <f>25000*1.05</f>
        <v>26250</v>
      </c>
      <c r="I59" s="272" t="str">
        <f t="shared" si="18"/>
        <v>Parkview</v>
      </c>
      <c r="J59" s="272">
        <f t="shared" si="17"/>
        <v>7930000</v>
      </c>
      <c r="K59" s="272">
        <v>560000</v>
      </c>
      <c r="L59" s="273">
        <f t="shared" si="4"/>
        <v>8490000</v>
      </c>
      <c r="M59" s="273">
        <f t="shared" si="5"/>
        <v>951600</v>
      </c>
      <c r="N59" s="273">
        <f t="shared" si="6"/>
        <v>9441600</v>
      </c>
      <c r="O59" s="273">
        <f t="shared" si="7"/>
        <v>396500</v>
      </c>
      <c r="P59" s="273">
        <f t="shared" si="8"/>
        <v>9838100</v>
      </c>
      <c r="Q59" s="406" t="str">
        <f t="shared" si="9"/>
        <v>Sold</v>
      </c>
      <c r="R59" s="296" t="s">
        <v>182</v>
      </c>
      <c r="S59" s="278" t="str">
        <f t="shared" si="13"/>
        <v>ERROR</v>
      </c>
      <c r="T59" s="279">
        <v>12848856.188000001</v>
      </c>
      <c r="U59" s="278" t="str">
        <f t="shared" si="10"/>
        <v>ERROR</v>
      </c>
      <c r="V59" s="1" t="s">
        <v>502</v>
      </c>
      <c r="W59" s="1" t="s">
        <v>505</v>
      </c>
      <c r="X59" s="274" t="b">
        <f>J59=[1]Sheet1!J51</f>
        <v>0</v>
      </c>
    </row>
    <row r="60" spans="1:24" x14ac:dyDescent="0.2">
      <c r="A60" s="360" t="s">
        <v>699</v>
      </c>
      <c r="B60" s="360" t="s">
        <v>583</v>
      </c>
      <c r="C60" s="269" t="str">
        <f t="shared" si="2"/>
        <v>B5L9</v>
      </c>
      <c r="D60" s="270">
        <v>5</v>
      </c>
      <c r="E60" s="271">
        <v>9</v>
      </c>
      <c r="F60" s="270"/>
      <c r="G60" s="418">
        <v>301</v>
      </c>
      <c r="H60" s="272">
        <f>25000*1.05</f>
        <v>26250</v>
      </c>
      <c r="I60" s="272" t="str">
        <f t="shared" si="18"/>
        <v>Parkview</v>
      </c>
      <c r="J60" s="272">
        <f t="shared" si="17"/>
        <v>7910000</v>
      </c>
      <c r="K60" s="272">
        <v>560000</v>
      </c>
      <c r="L60" s="273">
        <f t="shared" si="4"/>
        <v>8470000</v>
      </c>
      <c r="M60" s="273">
        <f t="shared" si="5"/>
        <v>949200</v>
      </c>
      <c r="N60" s="273">
        <f t="shared" si="6"/>
        <v>9419200</v>
      </c>
      <c r="O60" s="273">
        <f t="shared" si="7"/>
        <v>395500</v>
      </c>
      <c r="P60" s="273">
        <f t="shared" si="8"/>
        <v>9814700</v>
      </c>
      <c r="Q60" s="406" t="str">
        <f t="shared" si="9"/>
        <v>Sold</v>
      </c>
      <c r="R60" s="351" t="s">
        <v>183</v>
      </c>
      <c r="S60" s="352" t="str">
        <f t="shared" si="13"/>
        <v>ERROR</v>
      </c>
      <c r="T60" s="353">
        <v>10180801.806</v>
      </c>
      <c r="U60" s="352" t="str">
        <f t="shared" si="10"/>
        <v>ERROR</v>
      </c>
      <c r="V60" s="308" t="s">
        <v>502</v>
      </c>
      <c r="W60" s="308" t="s">
        <v>505</v>
      </c>
      <c r="X60" s="274" t="b">
        <f>J60=[1]Sheet1!J52</f>
        <v>0</v>
      </c>
    </row>
    <row r="61" spans="1:24" s="347" customFormat="1" ht="15" customHeight="1" x14ac:dyDescent="0.2">
      <c r="A61" s="360" t="s">
        <v>699</v>
      </c>
      <c r="B61" s="360" t="s">
        <v>584</v>
      </c>
      <c r="C61" s="269" t="str">
        <f t="shared" si="2"/>
        <v>B5L10</v>
      </c>
      <c r="D61" s="270">
        <v>5</v>
      </c>
      <c r="E61" s="271">
        <v>10</v>
      </c>
      <c r="F61" s="270"/>
      <c r="G61" s="418">
        <v>303</v>
      </c>
      <c r="H61" s="272">
        <f>25500*1.05</f>
        <v>26775</v>
      </c>
      <c r="I61" s="272" t="str">
        <f t="shared" si="18"/>
        <v>Parkview</v>
      </c>
      <c r="J61" s="272">
        <f t="shared" si="17"/>
        <v>8120000</v>
      </c>
      <c r="K61" s="272">
        <v>560000</v>
      </c>
      <c r="L61" s="273">
        <f t="shared" si="4"/>
        <v>8680000</v>
      </c>
      <c r="M61" s="273">
        <f t="shared" si="5"/>
        <v>974400</v>
      </c>
      <c r="N61" s="273">
        <f t="shared" si="6"/>
        <v>9654400</v>
      </c>
      <c r="O61" s="273">
        <f t="shared" si="7"/>
        <v>406000</v>
      </c>
      <c r="P61" s="273">
        <f t="shared" si="8"/>
        <v>10060400</v>
      </c>
      <c r="Q61" s="406" t="str">
        <f t="shared" si="9"/>
        <v>Sold</v>
      </c>
      <c r="R61" s="351" t="s">
        <v>184</v>
      </c>
      <c r="S61" s="352" t="str">
        <f t="shared" si="13"/>
        <v>ERROR</v>
      </c>
      <c r="T61" s="353">
        <v>10180802.806</v>
      </c>
      <c r="U61" s="352" t="str">
        <f>IF(T61=P61,"GOOD","ERROR")</f>
        <v>ERROR</v>
      </c>
      <c r="V61" s="308" t="s">
        <v>502</v>
      </c>
      <c r="W61" s="308" t="s">
        <v>505</v>
      </c>
      <c r="X61" s="274" t="b">
        <f>J61=[1]Sheet1!J53</f>
        <v>0</v>
      </c>
    </row>
    <row r="62" spans="1:24" x14ac:dyDescent="0.2">
      <c r="A62" s="360" t="s">
        <v>699</v>
      </c>
      <c r="B62" s="360" t="s">
        <v>585</v>
      </c>
      <c r="C62" s="269" t="str">
        <f t="shared" si="2"/>
        <v>B5L11</v>
      </c>
      <c r="D62" s="270">
        <v>5</v>
      </c>
      <c r="E62" s="271">
        <v>11</v>
      </c>
      <c r="F62" s="270"/>
      <c r="G62" s="418">
        <v>314</v>
      </c>
      <c r="H62" s="272">
        <f>25000*1.05</f>
        <v>26250</v>
      </c>
      <c r="I62" s="272" t="str">
        <f>$I$6</f>
        <v>Park Lane</v>
      </c>
      <c r="J62" s="272">
        <f t="shared" si="17"/>
        <v>8250000</v>
      </c>
      <c r="K62" s="272">
        <v>560000</v>
      </c>
      <c r="L62" s="273">
        <f t="shared" si="4"/>
        <v>8810000</v>
      </c>
      <c r="M62" s="273">
        <f t="shared" si="5"/>
        <v>990000</v>
      </c>
      <c r="N62" s="273">
        <f t="shared" si="6"/>
        <v>9800000</v>
      </c>
      <c r="O62" s="273">
        <f t="shared" si="7"/>
        <v>412500</v>
      </c>
      <c r="P62" s="273">
        <f t="shared" si="8"/>
        <v>10212500</v>
      </c>
      <c r="Q62" s="406" t="str">
        <f t="shared" si="9"/>
        <v>Sold</v>
      </c>
      <c r="R62" s="351" t="s">
        <v>184</v>
      </c>
      <c r="S62" s="352" t="str">
        <f t="shared" si="13"/>
        <v>ERROR</v>
      </c>
      <c r="T62" s="353">
        <v>12848856.188000001</v>
      </c>
      <c r="U62" s="352" t="str">
        <f t="shared" si="10"/>
        <v>ERROR</v>
      </c>
      <c r="V62" s="308" t="s">
        <v>502</v>
      </c>
      <c r="W62" s="308" t="s">
        <v>505</v>
      </c>
      <c r="X62" s="274" t="b">
        <f>J62=[1]Sheet1!J54</f>
        <v>0</v>
      </c>
    </row>
    <row r="63" spans="1:24" ht="15" customHeight="1" x14ac:dyDescent="0.2">
      <c r="D63" s="302" t="s">
        <v>484</v>
      </c>
      <c r="E63" s="349"/>
      <c r="F63" s="348"/>
      <c r="G63" s="349"/>
      <c r="H63" s="349"/>
      <c r="J63" s="350"/>
      <c r="P63" s="339"/>
    </row>
    <row r="64" spans="1:24" ht="15" customHeight="1" x14ac:dyDescent="0.2">
      <c r="D64" s="303" t="s">
        <v>497</v>
      </c>
      <c r="J64" s="350"/>
    </row>
    <row r="65" spans="4:17" ht="15" customHeight="1" x14ac:dyDescent="0.2">
      <c r="D65" s="304" t="s">
        <v>496</v>
      </c>
      <c r="J65" s="350"/>
    </row>
    <row r="66" spans="4:17" ht="15" customHeight="1" x14ac:dyDescent="0.2">
      <c r="D66" s="304" t="s">
        <v>495</v>
      </c>
      <c r="J66" s="350"/>
    </row>
    <row r="67" spans="4:17" ht="15" customHeight="1" x14ac:dyDescent="0.2">
      <c r="D67" s="303" t="s">
        <v>494</v>
      </c>
      <c r="J67" s="350"/>
    </row>
    <row r="68" spans="4:17" ht="15" customHeight="1" x14ac:dyDescent="0.2">
      <c r="D68" s="303" t="s">
        <v>493</v>
      </c>
      <c r="J68" s="350"/>
    </row>
    <row r="69" spans="4:17" ht="15" customHeight="1" x14ac:dyDescent="0.2">
      <c r="D69" s="304" t="s">
        <v>492</v>
      </c>
      <c r="J69" s="350"/>
    </row>
    <row r="70" spans="4:17" ht="15" customHeight="1" x14ac:dyDescent="0.2">
      <c r="D70" s="304" t="s">
        <v>485</v>
      </c>
      <c r="J70" s="350"/>
    </row>
    <row r="71" spans="4:17" ht="15" customHeight="1" x14ac:dyDescent="0.2">
      <c r="D71" s="304" t="s">
        <v>491</v>
      </c>
      <c r="J71" s="350"/>
      <c r="Q71" s="1"/>
    </row>
    <row r="72" spans="4:17" ht="15" customHeight="1" x14ac:dyDescent="0.2">
      <c r="D72" s="304" t="s">
        <v>490</v>
      </c>
      <c r="J72" s="350"/>
      <c r="Q72" s="1"/>
    </row>
    <row r="73" spans="4:17" ht="15" customHeight="1" x14ac:dyDescent="0.2">
      <c r="D73" s="303" t="s">
        <v>486</v>
      </c>
      <c r="J73" s="350"/>
      <c r="Q73" s="1"/>
    </row>
    <row r="74" spans="4:17" ht="15" customHeight="1" x14ac:dyDescent="0.2">
      <c r="D74" s="303" t="s">
        <v>488</v>
      </c>
      <c r="J74" s="350"/>
      <c r="Q74" s="1"/>
    </row>
    <row r="75" spans="4:17" ht="15" customHeight="1" x14ac:dyDescent="0.2">
      <c r="D75" s="303" t="s">
        <v>489</v>
      </c>
      <c r="J75" s="350"/>
      <c r="Q75" s="1"/>
    </row>
    <row r="76" spans="4:17" ht="15" customHeight="1" x14ac:dyDescent="0.2">
      <c r="D76" s="303" t="s">
        <v>499</v>
      </c>
      <c r="J76" s="350"/>
      <c r="Q76" s="1"/>
    </row>
    <row r="77" spans="4:17" ht="15" customHeight="1" x14ac:dyDescent="0.2">
      <c r="D77" s="305" t="s">
        <v>498</v>
      </c>
      <c r="J77" s="350"/>
      <c r="Q77" s="1"/>
    </row>
    <row r="78" spans="4:17" ht="15" customHeight="1" x14ac:dyDescent="0.2">
      <c r="D78" s="306" t="s">
        <v>487</v>
      </c>
      <c r="J78" s="350"/>
      <c r="Q78" s="1"/>
    </row>
    <row r="86" spans="5:5" x14ac:dyDescent="0.2">
      <c r="E86" s="1" t="s">
        <v>521</v>
      </c>
    </row>
  </sheetData>
  <protectedRanges>
    <protectedRange sqref="J3:J7" name="Final Data_2"/>
  </protectedRanges>
  <autoFilter ref="A9:AD78" xr:uid="{00000000-0009-0000-0000-000000000000}">
    <sortState xmlns:xlrd2="http://schemas.microsoft.com/office/spreadsheetml/2017/richdata2" ref="A10:AF232">
      <sortCondition ref="D10:D232" customList="G,1,2,3,4,5,6,P"/>
    </sortState>
  </autoFilter>
  <mergeCells count="3">
    <mergeCell ref="R8:U8"/>
    <mergeCell ref="M3:M4"/>
    <mergeCell ref="N3:N4"/>
  </mergeCells>
  <conditionalFormatting sqref="A1:A1048576">
    <cfRule type="cellIs" dxfId="2" priority="3" operator="equal">
      <formula>"Available"</formula>
    </cfRule>
  </conditionalFormatting>
  <conditionalFormatting sqref="X10:X62">
    <cfRule type="cellIs" dxfId="1" priority="1" operator="equal">
      <formula>FALSE</formula>
    </cfRule>
  </conditionalFormatting>
  <conditionalFormatting sqref="A10:A62">
    <cfRule type="uniqueValues" dxfId="0" priority="7"/>
  </conditionalFormatting>
  <pageMargins left="0.7" right="0.7" top="0.75" bottom="0.75" header="0.3" footer="0.3"/>
  <pageSetup paperSize="14" scale="8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00000"/>
    <pageSetUpPr fitToPage="1"/>
  </sheetPr>
  <dimension ref="A1:O99"/>
  <sheetViews>
    <sheetView showGridLines="0" zoomScaleNormal="100" workbookViewId="0">
      <selection activeCell="G11" sqref="G11"/>
    </sheetView>
  </sheetViews>
  <sheetFormatPr baseColWidth="10" defaultColWidth="0" defaultRowHeight="15" x14ac:dyDescent="0.2"/>
  <cols>
    <col min="1" max="1" width="22.5" style="26" customWidth="1"/>
    <col min="2" max="2" width="15.5" style="25" bestFit="1" customWidth="1"/>
    <col min="3" max="3" width="14.33203125" style="26" bestFit="1" customWidth="1"/>
    <col min="4" max="5" width="14.33203125" style="27" bestFit="1" customWidth="1"/>
    <col min="6" max="6" width="13.83203125" style="27" bestFit="1" customWidth="1"/>
    <col min="7" max="7" width="21" style="27"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4" ht="20" customHeight="1" x14ac:dyDescent="0.2">
      <c r="A1" s="70" t="s">
        <v>2</v>
      </c>
      <c r="B1" s="734">
        <f>INPUT!D30</f>
        <v>0</v>
      </c>
      <c r="C1" s="735"/>
      <c r="I1" s="47" t="str">
        <f>INPUT!D32</f>
        <v>MIRANDA 715-B</v>
      </c>
      <c r="K1" s="71" t="e">
        <f>VLOOKUP($I$1,#REF!,44,FALSE)</f>
        <v>#REF!</v>
      </c>
      <c r="M1" s="72"/>
      <c r="N1" s="71"/>
    </row>
    <row r="2" spans="1:14" x14ac:dyDescent="0.2">
      <c r="A2" s="294" t="s">
        <v>3</v>
      </c>
      <c r="B2" s="736" t="str">
        <f>INPUT!D31</f>
        <v>New Buyer</v>
      </c>
      <c r="C2" s="736"/>
      <c r="I2" s="47" t="str">
        <f>INPUT!D37</f>
        <v>No</v>
      </c>
      <c r="J2" s="47" t="s">
        <v>108</v>
      </c>
      <c r="K2" s="71">
        <f>700000</f>
        <v>700000</v>
      </c>
      <c r="L2" s="73"/>
      <c r="M2" s="72"/>
      <c r="N2" s="26" t="s">
        <v>429</v>
      </c>
    </row>
    <row r="3" spans="1:14" x14ac:dyDescent="0.2">
      <c r="A3" s="291" t="s">
        <v>96</v>
      </c>
      <c r="B3" s="733" t="e">
        <f>VLOOKUP('RFO1'!I1,#REF!,2,FALSE)</f>
        <v>#REF!</v>
      </c>
      <c r="C3" s="733"/>
      <c r="J3" s="47" t="s">
        <v>109</v>
      </c>
      <c r="L3" s="73"/>
      <c r="M3" s="72"/>
      <c r="N3" s="26" t="s">
        <v>433</v>
      </c>
    </row>
    <row r="4" spans="1:14" x14ac:dyDescent="0.2">
      <c r="A4" s="291" t="s">
        <v>9</v>
      </c>
      <c r="B4" s="733" t="e">
        <f>VLOOKUP($I$1,#REF!,3,FALSE)</f>
        <v>#REF!</v>
      </c>
      <c r="C4" s="733"/>
      <c r="D4" s="74"/>
      <c r="E4" s="74"/>
      <c r="J4" s="47" t="s">
        <v>110</v>
      </c>
      <c r="L4" s="73"/>
      <c r="M4" s="72"/>
      <c r="N4" s="26" t="s">
        <v>434</v>
      </c>
    </row>
    <row r="5" spans="1:14" x14ac:dyDescent="0.2">
      <c r="A5" s="291" t="s">
        <v>4</v>
      </c>
      <c r="B5" s="733" t="e">
        <f>VLOOKUP($I$1,#REF!,5,FALSE)</f>
        <v>#REF!</v>
      </c>
      <c r="C5" s="733"/>
      <c r="D5" s="74"/>
      <c r="E5" s="74"/>
      <c r="L5" s="73"/>
      <c r="M5" s="72"/>
    </row>
    <row r="6" spans="1:14" x14ac:dyDescent="0.2">
      <c r="A6" s="291" t="s">
        <v>8</v>
      </c>
      <c r="B6" s="733" t="e">
        <f>VLOOKUP($I$1,#REF!,10,FALSE)</f>
        <v>#REF!</v>
      </c>
      <c r="C6" s="733"/>
      <c r="D6" s="74"/>
      <c r="E6" s="74"/>
      <c r="L6" s="73"/>
      <c r="M6" s="72"/>
    </row>
    <row r="7" spans="1:14" x14ac:dyDescent="0.2">
      <c r="A7" s="291" t="s">
        <v>10</v>
      </c>
      <c r="B7" s="733" t="e">
        <f>VLOOKUP($I$1,#REF!,6,FALSE)</f>
        <v>#REF!</v>
      </c>
      <c r="C7" s="733"/>
      <c r="D7" s="74"/>
      <c r="E7" s="74"/>
      <c r="L7" s="73"/>
    </row>
    <row r="8" spans="1:14" ht="30" customHeight="1" x14ac:dyDescent="0.2">
      <c r="A8" s="291" t="s">
        <v>23</v>
      </c>
      <c r="B8" s="729" t="str">
        <f>INPUT!F36</f>
        <v>10% in 2mos. / 90% in 60mos.</v>
      </c>
      <c r="C8" s="729"/>
      <c r="D8" s="74"/>
      <c r="E8" s="74"/>
      <c r="G8" s="137" t="s">
        <v>412</v>
      </c>
      <c r="L8" s="73"/>
    </row>
    <row r="9" spans="1:14" x14ac:dyDescent="0.2">
      <c r="L9" s="73"/>
    </row>
    <row r="10" spans="1:14" x14ac:dyDescent="0.2">
      <c r="L10" s="73"/>
    </row>
    <row r="11" spans="1:14" ht="19" x14ac:dyDescent="0.25">
      <c r="A11" s="77" t="s">
        <v>24</v>
      </c>
      <c r="K11" s="26"/>
      <c r="L11" s="73"/>
    </row>
    <row r="12" spans="1:14" ht="19" x14ac:dyDescent="0.25">
      <c r="A12" s="77"/>
      <c r="D12" s="730" t="s">
        <v>106</v>
      </c>
      <c r="E12" s="730"/>
      <c r="F12" s="78" t="s">
        <v>107</v>
      </c>
      <c r="G12" s="78" t="s">
        <v>7</v>
      </c>
      <c r="K12" s="71" t="s">
        <v>260</v>
      </c>
      <c r="L12" s="73"/>
    </row>
    <row r="13" spans="1:14" x14ac:dyDescent="0.2">
      <c r="A13" s="26" t="s">
        <v>127</v>
      </c>
      <c r="D13" s="720" t="e">
        <f>K1</f>
        <v>#REF!</v>
      </c>
      <c r="E13" s="720"/>
      <c r="F13" s="27">
        <f>IF(I2=J2,K2,0)</f>
        <v>0</v>
      </c>
      <c r="G13" s="27" t="e">
        <f>D13+F13</f>
        <v>#REF!</v>
      </c>
      <c r="I13" s="79"/>
      <c r="L13" s="73"/>
    </row>
    <row r="14" spans="1:14" x14ac:dyDescent="0.2">
      <c r="A14" s="80" t="str">
        <f>IF(INPUT!$D$37=INPUT!$N$12,"          Bundled Share Promo","")</f>
        <v/>
      </c>
      <c r="C14" s="81"/>
      <c r="D14" s="721">
        <f>IF(INPUT!$D$37=INPUT!$N$12,INPUT!$D$38,0)</f>
        <v>0</v>
      </c>
      <c r="E14" s="721"/>
      <c r="F14" s="82">
        <v>0</v>
      </c>
      <c r="G14" s="82">
        <f>D14+F14</f>
        <v>0</v>
      </c>
      <c r="H14" s="81"/>
      <c r="I14" s="79"/>
      <c r="J14" s="83"/>
      <c r="K14" s="83"/>
      <c r="L14" s="73"/>
    </row>
    <row r="15" spans="1:14" s="93" customFormat="1" x14ac:dyDescent="0.2">
      <c r="A15" s="87" t="str">
        <f>IF(INPUT!$G$30=INPUT!$N$20,N4,"List Price (VAT-IN)")</f>
        <v>Discounted List Price (VAT-IN)</v>
      </c>
      <c r="B15" s="88"/>
      <c r="C15" s="89"/>
      <c r="D15" s="726" t="e">
        <f>D13-D14</f>
        <v>#REF!</v>
      </c>
      <c r="E15" s="726"/>
      <c r="F15" s="90">
        <f>F13-F14</f>
        <v>0</v>
      </c>
      <c r="G15" s="90" t="e">
        <f>SUM(D15:F15)</f>
        <v>#REF!</v>
      </c>
      <c r="H15" s="91"/>
      <c r="I15" s="92"/>
    </row>
    <row r="16" spans="1:14" s="100" customFormat="1" x14ac:dyDescent="0.2">
      <c r="A16" s="94" t="str">
        <f>IF(INPUT!$G$30=INPUT!$N$20,"          Discounted List Price (VAT-EX)","          List Price (VAT-EX)")</f>
        <v xml:space="preserve">          Discounted List Price (VAT-EX)</v>
      </c>
      <c r="B16" s="95"/>
      <c r="C16" s="91"/>
      <c r="D16" s="96"/>
      <c r="E16" s="97" t="e">
        <f>D15/1.12</f>
        <v>#REF!</v>
      </c>
      <c r="F16" s="98">
        <v>0</v>
      </c>
      <c r="G16" s="98" t="e">
        <f>SUM(E16:F16)</f>
        <v>#REF!</v>
      </c>
      <c r="H16" s="91"/>
      <c r="I16" s="99"/>
    </row>
    <row r="17" spans="1:15" x14ac:dyDescent="0.2">
      <c r="A17" s="80" t="str">
        <f>IF(INPUT!$D$31=INPUT!$Q$14,"          Less: Employee Disct","")</f>
        <v/>
      </c>
      <c r="C17" s="101" t="str">
        <f>IF($A$17=$N$2,5%,"")</f>
        <v/>
      </c>
      <c r="D17" s="721">
        <f>IF(A17=N2,(E16)*0.05,0)</f>
        <v>0</v>
      </c>
      <c r="E17" s="721"/>
      <c r="F17" s="82">
        <v>0</v>
      </c>
      <c r="G17" s="82">
        <f>SUM(D17:F17)</f>
        <v>0</v>
      </c>
      <c r="H17" s="81"/>
      <c r="I17" s="102"/>
      <c r="J17" s="103"/>
      <c r="K17" s="104"/>
      <c r="L17" s="73"/>
      <c r="M17" s="93"/>
      <c r="N17" s="93"/>
      <c r="O17" s="93"/>
    </row>
    <row r="18" spans="1:15" x14ac:dyDescent="0.2">
      <c r="A18" s="105" t="s">
        <v>432</v>
      </c>
      <c r="B18" s="106"/>
      <c r="C18" s="107"/>
      <c r="D18" s="726" t="e">
        <f>E16-D17</f>
        <v>#REF!</v>
      </c>
      <c r="E18" s="726"/>
      <c r="F18" s="108">
        <f>F15</f>
        <v>0</v>
      </c>
      <c r="G18" s="108" t="e">
        <f>SUM(D18:F18)</f>
        <v>#REF!</v>
      </c>
      <c r="H18" s="81"/>
    </row>
    <row r="19" spans="1:15" x14ac:dyDescent="0.2">
      <c r="A19" s="80" t="s">
        <v>128</v>
      </c>
      <c r="C19" s="84">
        <v>0.12</v>
      </c>
      <c r="D19" s="728" t="e">
        <f>D18*C19</f>
        <v>#REF!</v>
      </c>
      <c r="E19" s="728"/>
      <c r="F19" s="109">
        <v>0</v>
      </c>
      <c r="G19" s="109" t="e">
        <f>SUM(D19:F19)</f>
        <v>#REF!</v>
      </c>
      <c r="H19" s="81"/>
    </row>
    <row r="20" spans="1:15" x14ac:dyDescent="0.2">
      <c r="A20" s="80" t="s">
        <v>129</v>
      </c>
      <c r="C20" s="110">
        <v>3.5000000000000003E-2</v>
      </c>
      <c r="D20" s="728" t="e">
        <f>D18*C20</f>
        <v>#REF!</v>
      </c>
      <c r="E20" s="728"/>
      <c r="F20" s="109">
        <v>0</v>
      </c>
      <c r="G20" s="111" t="e">
        <f>SUM(D20:F20)</f>
        <v>#REF!</v>
      </c>
    </row>
    <row r="21" spans="1:15" s="93" customFormat="1" x14ac:dyDescent="0.2">
      <c r="A21" s="112" t="s">
        <v>101</v>
      </c>
      <c r="B21" s="113"/>
      <c r="C21" s="114"/>
      <c r="D21" s="732" t="e">
        <f>SUM(D18:E20)</f>
        <v>#REF!</v>
      </c>
      <c r="E21" s="732"/>
      <c r="F21" s="115">
        <f>SUM(F18:F20)</f>
        <v>0</v>
      </c>
      <c r="G21" s="115" t="e">
        <f>SUM(D21:F21)</f>
        <v>#REF!</v>
      </c>
      <c r="I21" s="103"/>
      <c r="J21" s="103"/>
      <c r="K21" s="104"/>
      <c r="L21" s="103"/>
    </row>
    <row r="22" spans="1:15" x14ac:dyDescent="0.2">
      <c r="N22" s="93"/>
    </row>
    <row r="23" spans="1:15" x14ac:dyDescent="0.2">
      <c r="A23" s="116" t="s">
        <v>25</v>
      </c>
      <c r="B23" s="116" t="s">
        <v>26</v>
      </c>
      <c r="C23" s="116" t="s">
        <v>27</v>
      </c>
      <c r="D23" s="117" t="s">
        <v>106</v>
      </c>
      <c r="E23" s="117" t="s">
        <v>121</v>
      </c>
      <c r="F23" s="117" t="s">
        <v>90</v>
      </c>
      <c r="G23" s="117" t="s">
        <v>28</v>
      </c>
      <c r="I23" s="72"/>
      <c r="N23" s="93"/>
    </row>
    <row r="24" spans="1:15" x14ac:dyDescent="0.2">
      <c r="A24" s="118">
        <v>0</v>
      </c>
      <c r="B24" s="118" t="s">
        <v>29</v>
      </c>
      <c r="C24" s="119">
        <f>SUM(D24:E24)</f>
        <v>100000</v>
      </c>
      <c r="D24" s="119">
        <f>IF($I$2=$J$2,75000,100000)</f>
        <v>100000</v>
      </c>
      <c r="E24" s="119">
        <f>IF($I$2=$J$2,25000,0)</f>
        <v>0</v>
      </c>
      <c r="F24" s="119"/>
      <c r="G24" s="120" t="e">
        <f>G21-C24-F24</f>
        <v>#REF!</v>
      </c>
    </row>
    <row r="25" spans="1:15" x14ac:dyDescent="0.2">
      <c r="A25" s="118">
        <v>1</v>
      </c>
      <c r="B25" s="118" t="s">
        <v>262</v>
      </c>
      <c r="C25" s="119" t="e">
        <f>SUM(D25:E25)</f>
        <v>#REF!</v>
      </c>
      <c r="D25" s="119" t="e">
        <f>((D18+D19)*I25-D24)/J25</f>
        <v>#REF!</v>
      </c>
      <c r="E25" s="119">
        <f>(F21*I25-E24)/J25</f>
        <v>0</v>
      </c>
      <c r="F25" s="119"/>
      <c r="G25" s="120" t="e">
        <f>G24-C25-F25</f>
        <v>#REF!</v>
      </c>
      <c r="I25" s="121">
        <v>0.1</v>
      </c>
      <c r="J25" s="47">
        <v>2</v>
      </c>
    </row>
    <row r="26" spans="1:15" s="48" customFormat="1" x14ac:dyDescent="0.2">
      <c r="A26" s="118">
        <v>2</v>
      </c>
      <c r="B26" s="118" t="s">
        <v>263</v>
      </c>
      <c r="C26" s="119" t="e">
        <f>SUM(D26:E26)</f>
        <v>#REF!</v>
      </c>
      <c r="D26" s="135" t="e">
        <f>D25</f>
        <v>#REF!</v>
      </c>
      <c r="E26" s="119">
        <f>E25</f>
        <v>0</v>
      </c>
      <c r="F26" s="119"/>
      <c r="G26" s="120" t="e">
        <f>G25-C26-F26</f>
        <v>#REF!</v>
      </c>
      <c r="I26" s="122"/>
      <c r="J26" s="49"/>
      <c r="K26" s="123"/>
      <c r="L26" s="49"/>
      <c r="N26" s="26"/>
    </row>
    <row r="27" spans="1:15" s="48" customFormat="1" x14ac:dyDescent="0.2">
      <c r="A27" s="118">
        <v>3</v>
      </c>
      <c r="B27" s="118" t="s">
        <v>290</v>
      </c>
      <c r="C27" s="119" t="e">
        <f>SUM(D27:E27)</f>
        <v>#REF!</v>
      </c>
      <c r="D27" s="119" t="e">
        <f>(D18+D19)*I27/J27</f>
        <v>#REF!</v>
      </c>
      <c r="E27" s="119">
        <f>F21*I27/J27</f>
        <v>0</v>
      </c>
      <c r="F27" s="119"/>
      <c r="G27" s="120" t="e">
        <f>G26-C27-F27</f>
        <v>#REF!</v>
      </c>
      <c r="I27" s="122">
        <v>0.9</v>
      </c>
      <c r="J27" s="49">
        <v>60</v>
      </c>
      <c r="K27" s="123"/>
      <c r="L27" s="49"/>
      <c r="N27" s="26"/>
    </row>
    <row r="28" spans="1:15" s="48" customFormat="1" x14ac:dyDescent="0.2">
      <c r="A28" s="118">
        <v>4</v>
      </c>
      <c r="B28" s="118" t="s">
        <v>291</v>
      </c>
      <c r="C28" s="119" t="e">
        <f t="shared" ref="C28:C50" si="0">SUM(D28:E28)</f>
        <v>#REF!</v>
      </c>
      <c r="D28" s="119" t="e">
        <f>D27</f>
        <v>#REF!</v>
      </c>
      <c r="E28" s="119">
        <f>E27</f>
        <v>0</v>
      </c>
      <c r="F28" s="119"/>
      <c r="G28" s="120" t="e">
        <f t="shared" ref="G28:G48" si="1">G27-C28-F28</f>
        <v>#REF!</v>
      </c>
      <c r="I28" s="122"/>
      <c r="J28" s="49"/>
      <c r="K28" s="123"/>
      <c r="L28" s="49"/>
    </row>
    <row r="29" spans="1:15" s="48" customFormat="1" x14ac:dyDescent="0.2">
      <c r="A29" s="118">
        <v>5</v>
      </c>
      <c r="B29" s="118" t="s">
        <v>292</v>
      </c>
      <c r="C29" s="119" t="e">
        <f t="shared" si="0"/>
        <v>#REF!</v>
      </c>
      <c r="D29" s="119" t="e">
        <f t="shared" ref="D29:E50" si="2">D28</f>
        <v>#REF!</v>
      </c>
      <c r="E29" s="119">
        <f t="shared" si="2"/>
        <v>0</v>
      </c>
      <c r="F29" s="119"/>
      <c r="G29" s="120" t="e">
        <f t="shared" si="1"/>
        <v>#REF!</v>
      </c>
      <c r="I29" s="122"/>
      <c r="J29" s="49"/>
      <c r="K29" s="123"/>
      <c r="L29" s="49"/>
      <c r="N29" s="26"/>
    </row>
    <row r="30" spans="1:15" s="48" customFormat="1" x14ac:dyDescent="0.2">
      <c r="A30" s="118">
        <v>6</v>
      </c>
      <c r="B30" s="118" t="s">
        <v>293</v>
      </c>
      <c r="C30" s="119" t="e">
        <f t="shared" si="0"/>
        <v>#REF!</v>
      </c>
      <c r="D30" s="119" t="e">
        <f t="shared" si="2"/>
        <v>#REF!</v>
      </c>
      <c r="E30" s="119">
        <f t="shared" si="2"/>
        <v>0</v>
      </c>
      <c r="F30" s="119"/>
      <c r="G30" s="120" t="e">
        <f t="shared" si="1"/>
        <v>#REF!</v>
      </c>
      <c r="I30" s="122"/>
      <c r="J30" s="49"/>
      <c r="K30" s="123"/>
      <c r="L30" s="49"/>
      <c r="N30" s="26"/>
    </row>
    <row r="31" spans="1:15" s="48" customFormat="1" x14ac:dyDescent="0.2">
      <c r="A31" s="118">
        <v>7</v>
      </c>
      <c r="B31" s="118" t="s">
        <v>294</v>
      </c>
      <c r="C31" s="119" t="e">
        <f t="shared" si="0"/>
        <v>#REF!</v>
      </c>
      <c r="D31" s="119" t="e">
        <f t="shared" si="2"/>
        <v>#REF!</v>
      </c>
      <c r="E31" s="119">
        <f t="shared" si="2"/>
        <v>0</v>
      </c>
      <c r="F31" s="119"/>
      <c r="G31" s="120" t="e">
        <f t="shared" si="1"/>
        <v>#REF!</v>
      </c>
      <c r="I31" s="122"/>
      <c r="J31" s="49"/>
      <c r="K31" s="123"/>
      <c r="L31" s="49"/>
      <c r="N31" s="26"/>
    </row>
    <row r="32" spans="1:15" s="48" customFormat="1" x14ac:dyDescent="0.2">
      <c r="A32" s="118">
        <v>8</v>
      </c>
      <c r="B32" s="118" t="s">
        <v>295</v>
      </c>
      <c r="C32" s="119" t="e">
        <f t="shared" si="0"/>
        <v>#REF!</v>
      </c>
      <c r="D32" s="119" t="e">
        <f t="shared" si="2"/>
        <v>#REF!</v>
      </c>
      <c r="E32" s="119">
        <f t="shared" si="2"/>
        <v>0</v>
      </c>
      <c r="F32" s="119"/>
      <c r="G32" s="120" t="e">
        <f t="shared" si="1"/>
        <v>#REF!</v>
      </c>
      <c r="I32" s="122"/>
      <c r="J32" s="49"/>
      <c r="K32" s="123"/>
      <c r="L32" s="49"/>
      <c r="N32" s="26"/>
    </row>
    <row r="33" spans="1:14" s="48" customFormat="1" x14ac:dyDescent="0.2">
      <c r="A33" s="118">
        <v>9</v>
      </c>
      <c r="B33" s="118" t="s">
        <v>296</v>
      </c>
      <c r="C33" s="119" t="e">
        <f t="shared" si="0"/>
        <v>#REF!</v>
      </c>
      <c r="D33" s="119" t="e">
        <f t="shared" si="2"/>
        <v>#REF!</v>
      </c>
      <c r="E33" s="119">
        <f t="shared" si="2"/>
        <v>0</v>
      </c>
      <c r="F33" s="119"/>
      <c r="G33" s="120" t="e">
        <f t="shared" si="1"/>
        <v>#REF!</v>
      </c>
      <c r="I33" s="122"/>
      <c r="J33" s="49"/>
      <c r="K33" s="123"/>
      <c r="L33" s="49"/>
      <c r="N33" s="26"/>
    </row>
    <row r="34" spans="1:14" s="48" customFormat="1" x14ac:dyDescent="0.2">
      <c r="A34" s="118">
        <v>10</v>
      </c>
      <c r="B34" s="118" t="s">
        <v>297</v>
      </c>
      <c r="C34" s="119" t="e">
        <f t="shared" si="0"/>
        <v>#REF!</v>
      </c>
      <c r="D34" s="119" t="e">
        <f t="shared" si="2"/>
        <v>#REF!</v>
      </c>
      <c r="E34" s="119">
        <f t="shared" si="2"/>
        <v>0</v>
      </c>
      <c r="F34" s="119"/>
      <c r="G34" s="120" t="e">
        <f t="shared" si="1"/>
        <v>#REF!</v>
      </c>
      <c r="I34" s="122"/>
      <c r="J34" s="49"/>
      <c r="K34" s="123"/>
      <c r="L34" s="49"/>
      <c r="N34" s="26"/>
    </row>
    <row r="35" spans="1:14" s="48" customFormat="1" x14ac:dyDescent="0.2">
      <c r="A35" s="118">
        <v>11</v>
      </c>
      <c r="B35" s="118" t="s">
        <v>298</v>
      </c>
      <c r="C35" s="119" t="e">
        <f t="shared" si="0"/>
        <v>#REF!</v>
      </c>
      <c r="D35" s="119" t="e">
        <f t="shared" si="2"/>
        <v>#REF!</v>
      </c>
      <c r="E35" s="119">
        <f t="shared" si="2"/>
        <v>0</v>
      </c>
      <c r="F35" s="119"/>
      <c r="G35" s="120" t="e">
        <f t="shared" si="1"/>
        <v>#REF!</v>
      </c>
      <c r="I35" s="122"/>
      <c r="J35" s="49"/>
      <c r="K35" s="123"/>
      <c r="L35" s="49"/>
      <c r="N35" s="26"/>
    </row>
    <row r="36" spans="1:14" s="48" customFormat="1" x14ac:dyDescent="0.2">
      <c r="A36" s="118">
        <v>12</v>
      </c>
      <c r="B36" s="118" t="s">
        <v>299</v>
      </c>
      <c r="C36" s="119" t="e">
        <f t="shared" si="0"/>
        <v>#REF!</v>
      </c>
      <c r="D36" s="119" t="e">
        <f t="shared" si="2"/>
        <v>#REF!</v>
      </c>
      <c r="E36" s="119">
        <f t="shared" si="2"/>
        <v>0</v>
      </c>
      <c r="F36" s="119"/>
      <c r="G36" s="120" t="e">
        <f t="shared" si="1"/>
        <v>#REF!</v>
      </c>
      <c r="I36" s="122"/>
      <c r="J36" s="49"/>
      <c r="K36" s="123"/>
      <c r="L36" s="49"/>
      <c r="N36" s="26"/>
    </row>
    <row r="37" spans="1:14" s="48" customFormat="1" x14ac:dyDescent="0.2">
      <c r="A37" s="118">
        <v>13</v>
      </c>
      <c r="B37" s="118" t="s">
        <v>300</v>
      </c>
      <c r="C37" s="119" t="e">
        <f t="shared" si="0"/>
        <v>#REF!</v>
      </c>
      <c r="D37" s="119" t="e">
        <f t="shared" si="2"/>
        <v>#REF!</v>
      </c>
      <c r="E37" s="119">
        <f t="shared" si="2"/>
        <v>0</v>
      </c>
      <c r="F37" s="119"/>
      <c r="G37" s="120" t="e">
        <f t="shared" si="1"/>
        <v>#REF!</v>
      </c>
      <c r="I37" s="122"/>
      <c r="J37" s="49"/>
      <c r="K37" s="123"/>
      <c r="L37" s="49"/>
      <c r="N37" s="26"/>
    </row>
    <row r="38" spans="1:14" s="48" customFormat="1" x14ac:dyDescent="0.2">
      <c r="A38" s="118">
        <v>14</v>
      </c>
      <c r="B38" s="118" t="s">
        <v>301</v>
      </c>
      <c r="C38" s="119" t="e">
        <f t="shared" si="0"/>
        <v>#REF!</v>
      </c>
      <c r="D38" s="119" t="e">
        <f t="shared" si="2"/>
        <v>#REF!</v>
      </c>
      <c r="E38" s="119">
        <f t="shared" si="2"/>
        <v>0</v>
      </c>
      <c r="F38" s="119"/>
      <c r="G38" s="120" t="e">
        <f t="shared" si="1"/>
        <v>#REF!</v>
      </c>
      <c r="I38" s="122"/>
      <c r="J38" s="49"/>
      <c r="K38" s="123"/>
      <c r="L38" s="49"/>
      <c r="N38" s="26"/>
    </row>
    <row r="39" spans="1:14" s="48" customFormat="1" x14ac:dyDescent="0.2">
      <c r="A39" s="118">
        <v>15</v>
      </c>
      <c r="B39" s="118" t="s">
        <v>302</v>
      </c>
      <c r="C39" s="119" t="e">
        <f t="shared" si="0"/>
        <v>#REF!</v>
      </c>
      <c r="D39" s="119" t="e">
        <f t="shared" si="2"/>
        <v>#REF!</v>
      </c>
      <c r="E39" s="119">
        <f t="shared" si="2"/>
        <v>0</v>
      </c>
      <c r="F39" s="119"/>
      <c r="G39" s="120" t="e">
        <f t="shared" si="1"/>
        <v>#REF!</v>
      </c>
      <c r="I39" s="122"/>
      <c r="J39" s="49"/>
      <c r="K39" s="123"/>
      <c r="L39" s="49"/>
      <c r="N39" s="26"/>
    </row>
    <row r="40" spans="1:14" s="48" customFormat="1" x14ac:dyDescent="0.2">
      <c r="A40" s="118">
        <v>16</v>
      </c>
      <c r="B40" s="118" t="s">
        <v>303</v>
      </c>
      <c r="C40" s="119" t="e">
        <f t="shared" si="0"/>
        <v>#REF!</v>
      </c>
      <c r="D40" s="119" t="e">
        <f t="shared" si="2"/>
        <v>#REF!</v>
      </c>
      <c r="E40" s="119">
        <f t="shared" si="2"/>
        <v>0</v>
      </c>
      <c r="F40" s="119"/>
      <c r="G40" s="120" t="e">
        <f t="shared" si="1"/>
        <v>#REF!</v>
      </c>
      <c r="I40" s="122"/>
      <c r="J40" s="49"/>
      <c r="K40" s="123"/>
      <c r="L40" s="49"/>
      <c r="N40" s="26"/>
    </row>
    <row r="41" spans="1:14" s="48" customFormat="1" x14ac:dyDescent="0.2">
      <c r="A41" s="118">
        <v>17</v>
      </c>
      <c r="B41" s="118" t="s">
        <v>304</v>
      </c>
      <c r="C41" s="119" t="e">
        <f t="shared" si="0"/>
        <v>#REF!</v>
      </c>
      <c r="D41" s="119" t="e">
        <f t="shared" si="2"/>
        <v>#REF!</v>
      </c>
      <c r="E41" s="119">
        <f t="shared" si="2"/>
        <v>0</v>
      </c>
      <c r="F41" s="119"/>
      <c r="G41" s="120" t="e">
        <f t="shared" si="1"/>
        <v>#REF!</v>
      </c>
      <c r="I41" s="122"/>
      <c r="J41" s="49"/>
      <c r="K41" s="123"/>
      <c r="L41" s="49"/>
      <c r="N41" s="26"/>
    </row>
    <row r="42" spans="1:14" s="48" customFormat="1" x14ac:dyDescent="0.2">
      <c r="A42" s="118">
        <v>18</v>
      </c>
      <c r="B42" s="118" t="s">
        <v>305</v>
      </c>
      <c r="C42" s="119" t="e">
        <f t="shared" si="0"/>
        <v>#REF!</v>
      </c>
      <c r="D42" s="119" t="e">
        <f t="shared" si="2"/>
        <v>#REF!</v>
      </c>
      <c r="E42" s="119">
        <f t="shared" si="2"/>
        <v>0</v>
      </c>
      <c r="F42" s="119"/>
      <c r="G42" s="120" t="e">
        <f t="shared" si="1"/>
        <v>#REF!</v>
      </c>
      <c r="I42" s="122"/>
      <c r="J42" s="49"/>
      <c r="K42" s="123"/>
      <c r="L42" s="49"/>
      <c r="N42" s="26"/>
    </row>
    <row r="43" spans="1:14" s="48" customFormat="1" x14ac:dyDescent="0.2">
      <c r="A43" s="118">
        <v>19</v>
      </c>
      <c r="B43" s="118" t="s">
        <v>306</v>
      </c>
      <c r="C43" s="119" t="e">
        <f t="shared" si="0"/>
        <v>#REF!</v>
      </c>
      <c r="D43" s="119" t="e">
        <f t="shared" si="2"/>
        <v>#REF!</v>
      </c>
      <c r="E43" s="119">
        <f t="shared" si="2"/>
        <v>0</v>
      </c>
      <c r="F43" s="119"/>
      <c r="G43" s="120" t="e">
        <f t="shared" si="1"/>
        <v>#REF!</v>
      </c>
      <c r="I43" s="122"/>
      <c r="J43" s="49"/>
      <c r="K43" s="123"/>
      <c r="L43" s="49"/>
      <c r="N43" s="26"/>
    </row>
    <row r="44" spans="1:14" s="48" customFormat="1" x14ac:dyDescent="0.2">
      <c r="A44" s="118">
        <v>20</v>
      </c>
      <c r="B44" s="118" t="s">
        <v>307</v>
      </c>
      <c r="C44" s="119" t="e">
        <f t="shared" si="0"/>
        <v>#REF!</v>
      </c>
      <c r="D44" s="119" t="e">
        <f t="shared" si="2"/>
        <v>#REF!</v>
      </c>
      <c r="E44" s="119">
        <f t="shared" si="2"/>
        <v>0</v>
      </c>
      <c r="F44" s="119"/>
      <c r="G44" s="120" t="e">
        <f t="shared" si="1"/>
        <v>#REF!</v>
      </c>
      <c r="I44" s="122"/>
      <c r="J44" s="49"/>
      <c r="K44" s="123"/>
      <c r="L44" s="49"/>
      <c r="N44" s="26"/>
    </row>
    <row r="45" spans="1:14" s="48" customFormat="1" x14ac:dyDescent="0.2">
      <c r="A45" s="118">
        <v>21</v>
      </c>
      <c r="B45" s="118" t="s">
        <v>308</v>
      </c>
      <c r="C45" s="119" t="e">
        <f t="shared" si="0"/>
        <v>#REF!</v>
      </c>
      <c r="D45" s="119" t="e">
        <f t="shared" si="2"/>
        <v>#REF!</v>
      </c>
      <c r="E45" s="119">
        <f t="shared" si="2"/>
        <v>0</v>
      </c>
      <c r="F45" s="119"/>
      <c r="G45" s="120" t="e">
        <f t="shared" si="1"/>
        <v>#REF!</v>
      </c>
      <c r="I45" s="122"/>
      <c r="J45" s="49"/>
      <c r="K45" s="123"/>
      <c r="L45" s="49"/>
      <c r="N45" s="26"/>
    </row>
    <row r="46" spans="1:14" s="48" customFormat="1" x14ac:dyDescent="0.2">
      <c r="A46" s="118">
        <v>22</v>
      </c>
      <c r="B46" s="118" t="s">
        <v>309</v>
      </c>
      <c r="C46" s="119" t="e">
        <f t="shared" si="0"/>
        <v>#REF!</v>
      </c>
      <c r="D46" s="119" t="e">
        <f t="shared" si="2"/>
        <v>#REF!</v>
      </c>
      <c r="E46" s="119">
        <f t="shared" si="2"/>
        <v>0</v>
      </c>
      <c r="F46" s="119"/>
      <c r="G46" s="120" t="e">
        <f t="shared" si="1"/>
        <v>#REF!</v>
      </c>
      <c r="I46" s="122"/>
      <c r="J46" s="49"/>
      <c r="K46" s="123"/>
      <c r="L46" s="49"/>
      <c r="N46" s="26"/>
    </row>
    <row r="47" spans="1:14" s="48" customFormat="1" x14ac:dyDescent="0.2">
      <c r="A47" s="118">
        <v>23</v>
      </c>
      <c r="B47" s="118" t="s">
        <v>310</v>
      </c>
      <c r="C47" s="119" t="e">
        <f t="shared" si="0"/>
        <v>#REF!</v>
      </c>
      <c r="D47" s="119" t="e">
        <f t="shared" si="2"/>
        <v>#REF!</v>
      </c>
      <c r="E47" s="119">
        <f t="shared" si="2"/>
        <v>0</v>
      </c>
      <c r="F47" s="119"/>
      <c r="G47" s="120" t="e">
        <f t="shared" si="1"/>
        <v>#REF!</v>
      </c>
      <c r="I47" s="122"/>
      <c r="J47" s="49"/>
      <c r="K47" s="123"/>
      <c r="L47" s="49"/>
      <c r="N47" s="26"/>
    </row>
    <row r="48" spans="1:14" s="48" customFormat="1" x14ac:dyDescent="0.2">
      <c r="A48" s="118">
        <v>24</v>
      </c>
      <c r="B48" s="118" t="s">
        <v>311</v>
      </c>
      <c r="C48" s="119" t="e">
        <f t="shared" si="0"/>
        <v>#REF!</v>
      </c>
      <c r="D48" s="119" t="e">
        <f t="shared" si="2"/>
        <v>#REF!</v>
      </c>
      <c r="E48" s="119">
        <f t="shared" si="2"/>
        <v>0</v>
      </c>
      <c r="F48" s="119"/>
      <c r="G48" s="120" t="e">
        <f t="shared" si="1"/>
        <v>#REF!</v>
      </c>
      <c r="I48" s="122"/>
      <c r="J48" s="49"/>
      <c r="K48" s="123"/>
      <c r="L48" s="49"/>
      <c r="N48" s="26"/>
    </row>
    <row r="49" spans="1:14" s="48" customFormat="1" x14ac:dyDescent="0.2">
      <c r="A49" s="118">
        <v>25</v>
      </c>
      <c r="B49" s="118" t="s">
        <v>312</v>
      </c>
      <c r="C49" s="119" t="e">
        <f t="shared" si="0"/>
        <v>#REF!</v>
      </c>
      <c r="D49" s="119" t="e">
        <f t="shared" si="2"/>
        <v>#REF!</v>
      </c>
      <c r="E49" s="119">
        <f t="shared" si="2"/>
        <v>0</v>
      </c>
      <c r="F49" s="119"/>
      <c r="G49" s="120" t="e">
        <f>G48-C49-F49</f>
        <v>#REF!</v>
      </c>
      <c r="I49" s="122"/>
      <c r="J49" s="49"/>
      <c r="K49" s="123"/>
      <c r="L49" s="49"/>
      <c r="N49" s="26"/>
    </row>
    <row r="50" spans="1:14" s="48" customFormat="1" x14ac:dyDescent="0.2">
      <c r="A50" s="118">
        <v>26</v>
      </c>
      <c r="B50" s="118" t="s">
        <v>313</v>
      </c>
      <c r="C50" s="119" t="e">
        <f t="shared" si="0"/>
        <v>#REF!</v>
      </c>
      <c r="D50" s="119" t="e">
        <f t="shared" si="2"/>
        <v>#REF!</v>
      </c>
      <c r="E50" s="119">
        <f t="shared" si="2"/>
        <v>0</v>
      </c>
      <c r="F50" s="119"/>
      <c r="G50" s="120" t="e">
        <f>G49-C50-F50</f>
        <v>#REF!</v>
      </c>
      <c r="I50" s="122"/>
      <c r="J50" s="49"/>
      <c r="K50" s="123"/>
      <c r="L50" s="49"/>
      <c r="N50" s="26"/>
    </row>
    <row r="51" spans="1:14" s="48" customFormat="1" x14ac:dyDescent="0.2">
      <c r="A51" s="118">
        <v>27</v>
      </c>
      <c r="B51" s="118" t="s">
        <v>314</v>
      </c>
      <c r="C51" s="119" t="e">
        <f t="shared" ref="C51:C86" si="3">SUM(D51:E51)</f>
        <v>#REF!</v>
      </c>
      <c r="D51" s="119" t="e">
        <f t="shared" ref="D51:D86" si="4">D50</f>
        <v>#REF!</v>
      </c>
      <c r="E51" s="119">
        <f t="shared" ref="E51:E86" si="5">E50</f>
        <v>0</v>
      </c>
      <c r="F51" s="119"/>
      <c r="G51" s="120" t="e">
        <f t="shared" ref="G51:G86" si="6">G50-C51-F51</f>
        <v>#REF!</v>
      </c>
      <c r="I51" s="122"/>
      <c r="J51" s="49"/>
      <c r="K51" s="123"/>
      <c r="L51" s="49"/>
      <c r="N51" s="26"/>
    </row>
    <row r="52" spans="1:14" s="48" customFormat="1" x14ac:dyDescent="0.2">
      <c r="A52" s="118">
        <v>28</v>
      </c>
      <c r="B52" s="118" t="s">
        <v>315</v>
      </c>
      <c r="C52" s="119" t="e">
        <f t="shared" si="3"/>
        <v>#REF!</v>
      </c>
      <c r="D52" s="119" t="e">
        <f t="shared" si="4"/>
        <v>#REF!</v>
      </c>
      <c r="E52" s="119">
        <f t="shared" si="5"/>
        <v>0</v>
      </c>
      <c r="F52" s="119"/>
      <c r="G52" s="120" t="e">
        <f t="shared" si="6"/>
        <v>#REF!</v>
      </c>
      <c r="I52" s="122"/>
      <c r="J52" s="49"/>
      <c r="K52" s="123"/>
      <c r="L52" s="49"/>
      <c r="N52" s="26"/>
    </row>
    <row r="53" spans="1:14" s="48" customFormat="1" x14ac:dyDescent="0.2">
      <c r="A53" s="118">
        <v>29</v>
      </c>
      <c r="B53" s="118" t="s">
        <v>316</v>
      </c>
      <c r="C53" s="119" t="e">
        <f t="shared" si="3"/>
        <v>#REF!</v>
      </c>
      <c r="D53" s="119" t="e">
        <f t="shared" si="4"/>
        <v>#REF!</v>
      </c>
      <c r="E53" s="119">
        <f t="shared" si="5"/>
        <v>0</v>
      </c>
      <c r="F53" s="119"/>
      <c r="G53" s="120" t="e">
        <f t="shared" si="6"/>
        <v>#REF!</v>
      </c>
      <c r="I53" s="122"/>
      <c r="J53" s="49"/>
      <c r="K53" s="123"/>
      <c r="L53" s="49"/>
      <c r="N53" s="26"/>
    </row>
    <row r="54" spans="1:14" s="48" customFormat="1" x14ac:dyDescent="0.2">
      <c r="A54" s="118">
        <v>30</v>
      </c>
      <c r="B54" s="118" t="s">
        <v>317</v>
      </c>
      <c r="C54" s="119" t="e">
        <f t="shared" si="3"/>
        <v>#REF!</v>
      </c>
      <c r="D54" s="119" t="e">
        <f t="shared" si="4"/>
        <v>#REF!</v>
      </c>
      <c r="E54" s="119">
        <f t="shared" si="5"/>
        <v>0</v>
      </c>
      <c r="F54" s="119"/>
      <c r="G54" s="120" t="e">
        <f t="shared" si="6"/>
        <v>#REF!</v>
      </c>
      <c r="I54" s="122"/>
      <c r="J54" s="49"/>
      <c r="K54" s="123"/>
      <c r="L54" s="49"/>
      <c r="N54" s="26"/>
    </row>
    <row r="55" spans="1:14" s="48" customFormat="1" x14ac:dyDescent="0.2">
      <c r="A55" s="118">
        <v>31</v>
      </c>
      <c r="B55" s="118" t="s">
        <v>318</v>
      </c>
      <c r="C55" s="119" t="e">
        <f t="shared" si="3"/>
        <v>#REF!</v>
      </c>
      <c r="D55" s="119" t="e">
        <f t="shared" si="4"/>
        <v>#REF!</v>
      </c>
      <c r="E55" s="119">
        <f t="shared" si="5"/>
        <v>0</v>
      </c>
      <c r="F55" s="119"/>
      <c r="G55" s="120" t="e">
        <f t="shared" si="6"/>
        <v>#REF!</v>
      </c>
      <c r="I55" s="122"/>
      <c r="J55" s="49"/>
      <c r="K55" s="123"/>
      <c r="L55" s="49"/>
      <c r="N55" s="26"/>
    </row>
    <row r="56" spans="1:14" s="48" customFormat="1" x14ac:dyDescent="0.2">
      <c r="A56" s="118">
        <v>32</v>
      </c>
      <c r="B56" s="118" t="s">
        <v>319</v>
      </c>
      <c r="C56" s="119" t="e">
        <f t="shared" si="3"/>
        <v>#REF!</v>
      </c>
      <c r="D56" s="119" t="e">
        <f t="shared" si="4"/>
        <v>#REF!</v>
      </c>
      <c r="E56" s="119">
        <f t="shared" si="5"/>
        <v>0</v>
      </c>
      <c r="F56" s="119"/>
      <c r="G56" s="120" t="e">
        <f t="shared" si="6"/>
        <v>#REF!</v>
      </c>
      <c r="I56" s="122"/>
      <c r="J56" s="49"/>
      <c r="K56" s="123"/>
      <c r="L56" s="49"/>
      <c r="N56" s="26"/>
    </row>
    <row r="57" spans="1:14" s="48" customFormat="1" x14ac:dyDescent="0.2">
      <c r="A57" s="118">
        <v>33</v>
      </c>
      <c r="B57" s="118" t="s">
        <v>320</v>
      </c>
      <c r="C57" s="119" t="e">
        <f t="shared" si="3"/>
        <v>#REF!</v>
      </c>
      <c r="D57" s="119" t="e">
        <f t="shared" si="4"/>
        <v>#REF!</v>
      </c>
      <c r="E57" s="119">
        <f t="shared" si="5"/>
        <v>0</v>
      </c>
      <c r="F57" s="119"/>
      <c r="G57" s="120" t="e">
        <f t="shared" si="6"/>
        <v>#REF!</v>
      </c>
      <c r="I57" s="122"/>
      <c r="J57" s="49"/>
      <c r="K57" s="123"/>
      <c r="L57" s="49"/>
      <c r="N57" s="26"/>
    </row>
    <row r="58" spans="1:14" s="48" customFormat="1" x14ac:dyDescent="0.2">
      <c r="A58" s="118">
        <v>34</v>
      </c>
      <c r="B58" s="118" t="s">
        <v>321</v>
      </c>
      <c r="C58" s="119" t="e">
        <f t="shared" si="3"/>
        <v>#REF!</v>
      </c>
      <c r="D58" s="119" t="e">
        <f t="shared" si="4"/>
        <v>#REF!</v>
      </c>
      <c r="E58" s="119">
        <f t="shared" si="5"/>
        <v>0</v>
      </c>
      <c r="F58" s="119"/>
      <c r="G58" s="120" t="e">
        <f t="shared" si="6"/>
        <v>#REF!</v>
      </c>
      <c r="I58" s="122"/>
      <c r="J58" s="49"/>
      <c r="K58" s="123"/>
      <c r="L58" s="49"/>
      <c r="N58" s="26"/>
    </row>
    <row r="59" spans="1:14" s="48" customFormat="1" x14ac:dyDescent="0.2">
      <c r="A59" s="118">
        <v>35</v>
      </c>
      <c r="B59" s="118" t="s">
        <v>322</v>
      </c>
      <c r="C59" s="119" t="e">
        <f t="shared" si="3"/>
        <v>#REF!</v>
      </c>
      <c r="D59" s="119" t="e">
        <f t="shared" si="4"/>
        <v>#REF!</v>
      </c>
      <c r="E59" s="119">
        <f t="shared" si="5"/>
        <v>0</v>
      </c>
      <c r="F59" s="119"/>
      <c r="G59" s="120" t="e">
        <f t="shared" si="6"/>
        <v>#REF!</v>
      </c>
      <c r="I59" s="122"/>
      <c r="J59" s="49"/>
      <c r="K59" s="123"/>
      <c r="L59" s="49"/>
      <c r="N59" s="26"/>
    </row>
    <row r="60" spans="1:14" s="48" customFormat="1" x14ac:dyDescent="0.2">
      <c r="A60" s="118">
        <v>36</v>
      </c>
      <c r="B60" s="118" t="s">
        <v>323</v>
      </c>
      <c r="C60" s="119" t="e">
        <f t="shared" si="3"/>
        <v>#REF!</v>
      </c>
      <c r="D60" s="119" t="e">
        <f t="shared" si="4"/>
        <v>#REF!</v>
      </c>
      <c r="E60" s="119">
        <f t="shared" si="5"/>
        <v>0</v>
      </c>
      <c r="F60" s="119"/>
      <c r="G60" s="120" t="e">
        <f t="shared" si="6"/>
        <v>#REF!</v>
      </c>
      <c r="I60" s="122"/>
      <c r="J60" s="49"/>
      <c r="K60" s="123"/>
      <c r="L60" s="49"/>
      <c r="N60" s="26"/>
    </row>
    <row r="61" spans="1:14" s="48" customFormat="1" x14ac:dyDescent="0.2">
      <c r="A61" s="118">
        <v>37</v>
      </c>
      <c r="B61" s="118" t="s">
        <v>324</v>
      </c>
      <c r="C61" s="119" t="e">
        <f t="shared" si="3"/>
        <v>#REF!</v>
      </c>
      <c r="D61" s="119" t="e">
        <f t="shared" si="4"/>
        <v>#REF!</v>
      </c>
      <c r="E61" s="119">
        <f t="shared" si="5"/>
        <v>0</v>
      </c>
      <c r="F61" s="119"/>
      <c r="G61" s="120" t="e">
        <f t="shared" si="6"/>
        <v>#REF!</v>
      </c>
      <c r="I61" s="122"/>
      <c r="J61" s="49"/>
      <c r="K61" s="123"/>
      <c r="L61" s="49"/>
      <c r="N61" s="26"/>
    </row>
    <row r="62" spans="1:14" s="48" customFormat="1" x14ac:dyDescent="0.2">
      <c r="A62" s="118">
        <v>38</v>
      </c>
      <c r="B62" s="118" t="s">
        <v>325</v>
      </c>
      <c r="C62" s="119" t="e">
        <f t="shared" si="3"/>
        <v>#REF!</v>
      </c>
      <c r="D62" s="119" t="e">
        <f t="shared" si="4"/>
        <v>#REF!</v>
      </c>
      <c r="E62" s="119">
        <f t="shared" si="5"/>
        <v>0</v>
      </c>
      <c r="F62" s="119"/>
      <c r="G62" s="120" t="e">
        <f t="shared" si="6"/>
        <v>#REF!</v>
      </c>
      <c r="I62" s="122"/>
      <c r="J62" s="49"/>
      <c r="K62" s="123"/>
      <c r="L62" s="49"/>
      <c r="N62" s="26"/>
    </row>
    <row r="63" spans="1:14" s="48" customFormat="1" x14ac:dyDescent="0.2">
      <c r="A63" s="118">
        <v>39</v>
      </c>
      <c r="B63" s="118" t="s">
        <v>326</v>
      </c>
      <c r="C63" s="119" t="e">
        <f t="shared" si="3"/>
        <v>#REF!</v>
      </c>
      <c r="D63" s="119" t="e">
        <f t="shared" si="4"/>
        <v>#REF!</v>
      </c>
      <c r="E63" s="119">
        <f t="shared" si="5"/>
        <v>0</v>
      </c>
      <c r="F63" s="119"/>
      <c r="G63" s="120" t="e">
        <f t="shared" si="6"/>
        <v>#REF!</v>
      </c>
      <c r="I63" s="122"/>
      <c r="J63" s="49"/>
      <c r="K63" s="123"/>
      <c r="L63" s="49"/>
      <c r="N63" s="26"/>
    </row>
    <row r="64" spans="1:14" s="48" customFormat="1" x14ac:dyDescent="0.2">
      <c r="A64" s="118">
        <v>40</v>
      </c>
      <c r="B64" s="118" t="s">
        <v>327</v>
      </c>
      <c r="C64" s="119" t="e">
        <f t="shared" si="3"/>
        <v>#REF!</v>
      </c>
      <c r="D64" s="119" t="e">
        <f t="shared" si="4"/>
        <v>#REF!</v>
      </c>
      <c r="E64" s="119">
        <f t="shared" si="5"/>
        <v>0</v>
      </c>
      <c r="F64" s="119"/>
      <c r="G64" s="120" t="e">
        <f t="shared" si="6"/>
        <v>#REF!</v>
      </c>
      <c r="I64" s="122"/>
      <c r="J64" s="49"/>
      <c r="K64" s="123"/>
      <c r="L64" s="49"/>
      <c r="N64" s="26"/>
    </row>
    <row r="65" spans="1:14" s="48" customFormat="1" x14ac:dyDescent="0.2">
      <c r="A65" s="118">
        <v>41</v>
      </c>
      <c r="B65" s="118" t="s">
        <v>328</v>
      </c>
      <c r="C65" s="119" t="e">
        <f t="shared" si="3"/>
        <v>#REF!</v>
      </c>
      <c r="D65" s="119" t="e">
        <f t="shared" si="4"/>
        <v>#REF!</v>
      </c>
      <c r="E65" s="119">
        <f t="shared" si="5"/>
        <v>0</v>
      </c>
      <c r="F65" s="119"/>
      <c r="G65" s="120" t="e">
        <f t="shared" si="6"/>
        <v>#REF!</v>
      </c>
      <c r="I65" s="122"/>
      <c r="J65" s="49"/>
      <c r="K65" s="123"/>
      <c r="L65" s="49"/>
      <c r="N65" s="26"/>
    </row>
    <row r="66" spans="1:14" s="48" customFormat="1" x14ac:dyDescent="0.2">
      <c r="A66" s="118">
        <v>42</v>
      </c>
      <c r="B66" s="118" t="s">
        <v>329</v>
      </c>
      <c r="C66" s="119" t="e">
        <f t="shared" si="3"/>
        <v>#REF!</v>
      </c>
      <c r="D66" s="119" t="e">
        <f t="shared" si="4"/>
        <v>#REF!</v>
      </c>
      <c r="E66" s="119">
        <f t="shared" si="5"/>
        <v>0</v>
      </c>
      <c r="F66" s="119"/>
      <c r="G66" s="120" t="e">
        <f t="shared" si="6"/>
        <v>#REF!</v>
      </c>
      <c r="I66" s="122"/>
      <c r="J66" s="49"/>
      <c r="K66" s="123"/>
      <c r="L66" s="49"/>
      <c r="N66" s="26"/>
    </row>
    <row r="67" spans="1:14" s="48" customFormat="1" x14ac:dyDescent="0.2">
      <c r="A67" s="118">
        <v>43</v>
      </c>
      <c r="B67" s="118" t="s">
        <v>330</v>
      </c>
      <c r="C67" s="119" t="e">
        <f t="shared" si="3"/>
        <v>#REF!</v>
      </c>
      <c r="D67" s="119" t="e">
        <f t="shared" si="4"/>
        <v>#REF!</v>
      </c>
      <c r="E67" s="119">
        <f t="shared" si="5"/>
        <v>0</v>
      </c>
      <c r="F67" s="119"/>
      <c r="G67" s="120" t="e">
        <f t="shared" si="6"/>
        <v>#REF!</v>
      </c>
      <c r="I67" s="122"/>
      <c r="J67" s="49"/>
      <c r="K67" s="123"/>
      <c r="L67" s="49"/>
      <c r="N67" s="26"/>
    </row>
    <row r="68" spans="1:14" s="48" customFormat="1" x14ac:dyDescent="0.2">
      <c r="A68" s="118">
        <v>44</v>
      </c>
      <c r="B68" s="118" t="s">
        <v>331</v>
      </c>
      <c r="C68" s="119" t="e">
        <f t="shared" si="3"/>
        <v>#REF!</v>
      </c>
      <c r="D68" s="119" t="e">
        <f t="shared" si="4"/>
        <v>#REF!</v>
      </c>
      <c r="E68" s="119">
        <f t="shared" si="5"/>
        <v>0</v>
      </c>
      <c r="F68" s="119"/>
      <c r="G68" s="120" t="e">
        <f t="shared" si="6"/>
        <v>#REF!</v>
      </c>
      <c r="I68" s="122"/>
      <c r="J68" s="49"/>
      <c r="K68" s="123"/>
      <c r="L68" s="49"/>
      <c r="N68" s="26"/>
    </row>
    <row r="69" spans="1:14" s="48" customFormat="1" x14ac:dyDescent="0.2">
      <c r="A69" s="118">
        <v>45</v>
      </c>
      <c r="B69" s="118" t="s">
        <v>332</v>
      </c>
      <c r="C69" s="119" t="e">
        <f t="shared" si="3"/>
        <v>#REF!</v>
      </c>
      <c r="D69" s="119" t="e">
        <f t="shared" si="4"/>
        <v>#REF!</v>
      </c>
      <c r="E69" s="119">
        <f t="shared" si="5"/>
        <v>0</v>
      </c>
      <c r="F69" s="119"/>
      <c r="G69" s="120" t="e">
        <f t="shared" si="6"/>
        <v>#REF!</v>
      </c>
      <c r="I69" s="122"/>
      <c r="J69" s="49"/>
      <c r="K69" s="123"/>
      <c r="L69" s="49"/>
      <c r="N69" s="26"/>
    </row>
    <row r="70" spans="1:14" s="48" customFormat="1" x14ac:dyDescent="0.2">
      <c r="A70" s="118">
        <v>46</v>
      </c>
      <c r="B70" s="118" t="s">
        <v>333</v>
      </c>
      <c r="C70" s="119" t="e">
        <f t="shared" si="3"/>
        <v>#REF!</v>
      </c>
      <c r="D70" s="119" t="e">
        <f t="shared" si="4"/>
        <v>#REF!</v>
      </c>
      <c r="E70" s="119">
        <f t="shared" si="5"/>
        <v>0</v>
      </c>
      <c r="F70" s="119"/>
      <c r="G70" s="120" t="e">
        <f t="shared" si="6"/>
        <v>#REF!</v>
      </c>
      <c r="I70" s="122"/>
      <c r="J70" s="49"/>
      <c r="K70" s="123"/>
      <c r="L70" s="49"/>
      <c r="N70" s="26"/>
    </row>
    <row r="71" spans="1:14" s="48" customFormat="1" x14ac:dyDescent="0.2">
      <c r="A71" s="118">
        <v>47</v>
      </c>
      <c r="B71" s="118" t="s">
        <v>334</v>
      </c>
      <c r="C71" s="119" t="e">
        <f t="shared" si="3"/>
        <v>#REF!</v>
      </c>
      <c r="D71" s="119" t="e">
        <f t="shared" si="4"/>
        <v>#REF!</v>
      </c>
      <c r="E71" s="119">
        <f t="shared" si="5"/>
        <v>0</v>
      </c>
      <c r="F71" s="119"/>
      <c r="G71" s="120" t="e">
        <f t="shared" si="6"/>
        <v>#REF!</v>
      </c>
      <c r="I71" s="122"/>
      <c r="J71" s="49"/>
      <c r="K71" s="123"/>
      <c r="L71" s="49"/>
      <c r="N71" s="26"/>
    </row>
    <row r="72" spans="1:14" s="48" customFormat="1" x14ac:dyDescent="0.2">
      <c r="A72" s="118">
        <v>48</v>
      </c>
      <c r="B72" s="118" t="s">
        <v>335</v>
      </c>
      <c r="C72" s="119" t="e">
        <f t="shared" si="3"/>
        <v>#REF!</v>
      </c>
      <c r="D72" s="119" t="e">
        <f t="shared" si="4"/>
        <v>#REF!</v>
      </c>
      <c r="E72" s="119">
        <f t="shared" si="5"/>
        <v>0</v>
      </c>
      <c r="F72" s="119"/>
      <c r="G72" s="120" t="e">
        <f t="shared" si="6"/>
        <v>#REF!</v>
      </c>
      <c r="I72" s="122"/>
      <c r="J72" s="49"/>
      <c r="K72" s="123"/>
      <c r="L72" s="49"/>
      <c r="N72" s="26"/>
    </row>
    <row r="73" spans="1:14" s="48" customFormat="1" x14ac:dyDescent="0.2">
      <c r="A73" s="118">
        <v>49</v>
      </c>
      <c r="B73" s="118" t="s">
        <v>336</v>
      </c>
      <c r="C73" s="119" t="e">
        <f t="shared" si="3"/>
        <v>#REF!</v>
      </c>
      <c r="D73" s="119" t="e">
        <f t="shared" si="4"/>
        <v>#REF!</v>
      </c>
      <c r="E73" s="119">
        <f t="shared" si="5"/>
        <v>0</v>
      </c>
      <c r="F73" s="119"/>
      <c r="G73" s="120" t="e">
        <f t="shared" si="6"/>
        <v>#REF!</v>
      </c>
      <c r="I73" s="122"/>
      <c r="J73" s="49"/>
      <c r="K73" s="123"/>
      <c r="L73" s="49"/>
      <c r="N73" s="26"/>
    </row>
    <row r="74" spans="1:14" s="48" customFormat="1" x14ac:dyDescent="0.2">
      <c r="A74" s="118">
        <v>50</v>
      </c>
      <c r="B74" s="118" t="s">
        <v>337</v>
      </c>
      <c r="C74" s="119" t="e">
        <f t="shared" si="3"/>
        <v>#REF!</v>
      </c>
      <c r="D74" s="119" t="e">
        <f t="shared" si="4"/>
        <v>#REF!</v>
      </c>
      <c r="E74" s="119">
        <f t="shared" si="5"/>
        <v>0</v>
      </c>
      <c r="F74" s="119"/>
      <c r="G74" s="120" t="e">
        <f t="shared" si="6"/>
        <v>#REF!</v>
      </c>
      <c r="I74" s="122"/>
      <c r="J74" s="49"/>
      <c r="K74" s="123"/>
      <c r="L74" s="49"/>
      <c r="N74" s="26"/>
    </row>
    <row r="75" spans="1:14" s="48" customFormat="1" x14ac:dyDescent="0.2">
      <c r="A75" s="118">
        <v>51</v>
      </c>
      <c r="B75" s="118" t="s">
        <v>338</v>
      </c>
      <c r="C75" s="119" t="e">
        <f t="shared" si="3"/>
        <v>#REF!</v>
      </c>
      <c r="D75" s="119" t="e">
        <f t="shared" si="4"/>
        <v>#REF!</v>
      </c>
      <c r="E75" s="119">
        <f t="shared" si="5"/>
        <v>0</v>
      </c>
      <c r="F75" s="119"/>
      <c r="G75" s="120" t="e">
        <f t="shared" si="6"/>
        <v>#REF!</v>
      </c>
      <c r="I75" s="122"/>
      <c r="J75" s="49"/>
      <c r="K75" s="123"/>
      <c r="L75" s="49"/>
      <c r="N75" s="26"/>
    </row>
    <row r="76" spans="1:14" s="48" customFormat="1" x14ac:dyDescent="0.2">
      <c r="A76" s="118">
        <v>52</v>
      </c>
      <c r="B76" s="118" t="s">
        <v>339</v>
      </c>
      <c r="C76" s="119" t="e">
        <f t="shared" si="3"/>
        <v>#REF!</v>
      </c>
      <c r="D76" s="119" t="e">
        <f t="shared" si="4"/>
        <v>#REF!</v>
      </c>
      <c r="E76" s="119">
        <f t="shared" si="5"/>
        <v>0</v>
      </c>
      <c r="F76" s="119"/>
      <c r="G76" s="120" t="e">
        <f t="shared" si="6"/>
        <v>#REF!</v>
      </c>
      <c r="I76" s="122"/>
      <c r="J76" s="49"/>
      <c r="K76" s="123"/>
      <c r="L76" s="49"/>
      <c r="N76" s="26"/>
    </row>
    <row r="77" spans="1:14" s="48" customFormat="1" x14ac:dyDescent="0.2">
      <c r="A77" s="118">
        <v>53</v>
      </c>
      <c r="B77" s="118" t="s">
        <v>340</v>
      </c>
      <c r="C77" s="119" t="e">
        <f t="shared" si="3"/>
        <v>#REF!</v>
      </c>
      <c r="D77" s="119" t="e">
        <f t="shared" si="4"/>
        <v>#REF!</v>
      </c>
      <c r="E77" s="119">
        <f t="shared" si="5"/>
        <v>0</v>
      </c>
      <c r="F77" s="119"/>
      <c r="G77" s="120" t="e">
        <f t="shared" si="6"/>
        <v>#REF!</v>
      </c>
      <c r="I77" s="122"/>
      <c r="J77" s="49"/>
      <c r="K77" s="123"/>
      <c r="L77" s="49"/>
      <c r="N77" s="26"/>
    </row>
    <row r="78" spans="1:14" s="48" customFormat="1" x14ac:dyDescent="0.2">
      <c r="A78" s="118">
        <v>54</v>
      </c>
      <c r="B78" s="118" t="s">
        <v>341</v>
      </c>
      <c r="C78" s="119" t="e">
        <f t="shared" si="3"/>
        <v>#REF!</v>
      </c>
      <c r="D78" s="119" t="e">
        <f t="shared" si="4"/>
        <v>#REF!</v>
      </c>
      <c r="E78" s="119">
        <f t="shared" si="5"/>
        <v>0</v>
      </c>
      <c r="F78" s="119"/>
      <c r="G78" s="120" t="e">
        <f t="shared" si="6"/>
        <v>#REF!</v>
      </c>
      <c r="I78" s="122"/>
      <c r="J78" s="49"/>
      <c r="K78" s="123"/>
      <c r="L78" s="49"/>
      <c r="N78" s="26"/>
    </row>
    <row r="79" spans="1:14" s="48" customFormat="1" x14ac:dyDescent="0.2">
      <c r="A79" s="118">
        <v>55</v>
      </c>
      <c r="B79" s="118" t="s">
        <v>342</v>
      </c>
      <c r="C79" s="119" t="e">
        <f t="shared" si="3"/>
        <v>#REF!</v>
      </c>
      <c r="D79" s="119" t="e">
        <f t="shared" si="4"/>
        <v>#REF!</v>
      </c>
      <c r="E79" s="119">
        <f t="shared" si="5"/>
        <v>0</v>
      </c>
      <c r="F79" s="119"/>
      <c r="G79" s="120" t="e">
        <f t="shared" si="6"/>
        <v>#REF!</v>
      </c>
      <c r="I79" s="122"/>
      <c r="J79" s="49"/>
      <c r="K79" s="123"/>
      <c r="L79" s="49"/>
      <c r="N79" s="26"/>
    </row>
    <row r="80" spans="1:14" s="48" customFormat="1" x14ac:dyDescent="0.2">
      <c r="A80" s="118">
        <v>56</v>
      </c>
      <c r="B80" s="118" t="s">
        <v>343</v>
      </c>
      <c r="C80" s="119" t="e">
        <f t="shared" si="3"/>
        <v>#REF!</v>
      </c>
      <c r="D80" s="119" t="e">
        <f t="shared" si="4"/>
        <v>#REF!</v>
      </c>
      <c r="E80" s="119">
        <f t="shared" si="5"/>
        <v>0</v>
      </c>
      <c r="F80" s="119"/>
      <c r="G80" s="120" t="e">
        <f t="shared" si="6"/>
        <v>#REF!</v>
      </c>
      <c r="I80" s="122"/>
      <c r="J80" s="49"/>
      <c r="K80" s="123"/>
      <c r="L80" s="49"/>
      <c r="N80" s="26"/>
    </row>
    <row r="81" spans="1:14" s="48" customFormat="1" x14ac:dyDescent="0.2">
      <c r="A81" s="118">
        <v>57</v>
      </c>
      <c r="B81" s="118" t="s">
        <v>344</v>
      </c>
      <c r="C81" s="119" t="e">
        <f t="shared" si="3"/>
        <v>#REF!</v>
      </c>
      <c r="D81" s="119" t="e">
        <f t="shared" si="4"/>
        <v>#REF!</v>
      </c>
      <c r="E81" s="119">
        <f t="shared" si="5"/>
        <v>0</v>
      </c>
      <c r="F81" s="119"/>
      <c r="G81" s="120" t="e">
        <f t="shared" si="6"/>
        <v>#REF!</v>
      </c>
      <c r="I81" s="122"/>
      <c r="J81" s="49"/>
      <c r="K81" s="123"/>
      <c r="L81" s="49"/>
      <c r="N81" s="26"/>
    </row>
    <row r="82" spans="1:14" s="48" customFormat="1" x14ac:dyDescent="0.2">
      <c r="A82" s="118">
        <v>58</v>
      </c>
      <c r="B82" s="118" t="s">
        <v>345</v>
      </c>
      <c r="C82" s="119" t="e">
        <f t="shared" si="3"/>
        <v>#REF!</v>
      </c>
      <c r="D82" s="119" t="e">
        <f t="shared" si="4"/>
        <v>#REF!</v>
      </c>
      <c r="E82" s="119">
        <f t="shared" si="5"/>
        <v>0</v>
      </c>
      <c r="F82" s="119"/>
      <c r="G82" s="120" t="e">
        <f t="shared" si="6"/>
        <v>#REF!</v>
      </c>
      <c r="I82" s="122"/>
      <c r="J82" s="49"/>
      <c r="K82" s="123"/>
      <c r="L82" s="49"/>
      <c r="N82" s="26"/>
    </row>
    <row r="83" spans="1:14" s="48" customFormat="1" x14ac:dyDescent="0.2">
      <c r="A83" s="118">
        <v>59</v>
      </c>
      <c r="B83" s="118" t="s">
        <v>346</v>
      </c>
      <c r="C83" s="119" t="e">
        <f t="shared" si="3"/>
        <v>#REF!</v>
      </c>
      <c r="D83" s="119" t="e">
        <f t="shared" si="4"/>
        <v>#REF!</v>
      </c>
      <c r="E83" s="119">
        <f t="shared" si="5"/>
        <v>0</v>
      </c>
      <c r="F83" s="119"/>
      <c r="G83" s="120" t="e">
        <f t="shared" si="6"/>
        <v>#REF!</v>
      </c>
      <c r="I83" s="122"/>
      <c r="J83" s="49"/>
      <c r="K83" s="123"/>
      <c r="L83" s="49"/>
      <c r="N83" s="26"/>
    </row>
    <row r="84" spans="1:14" s="48" customFormat="1" x14ac:dyDescent="0.2">
      <c r="A84" s="118">
        <v>60</v>
      </c>
      <c r="B84" s="118" t="s">
        <v>347</v>
      </c>
      <c r="C84" s="119" t="e">
        <f t="shared" si="3"/>
        <v>#REF!</v>
      </c>
      <c r="D84" s="119" t="e">
        <f t="shared" si="4"/>
        <v>#REF!</v>
      </c>
      <c r="E84" s="119">
        <f t="shared" si="5"/>
        <v>0</v>
      </c>
      <c r="F84" s="119"/>
      <c r="G84" s="120" t="e">
        <f t="shared" si="6"/>
        <v>#REF!</v>
      </c>
      <c r="I84" s="122"/>
      <c r="J84" s="49"/>
      <c r="K84" s="123"/>
      <c r="L84" s="49"/>
      <c r="N84" s="26"/>
    </row>
    <row r="85" spans="1:14" s="48" customFormat="1" x14ac:dyDescent="0.2">
      <c r="A85" s="118">
        <v>61</v>
      </c>
      <c r="B85" s="118" t="s">
        <v>348</v>
      </c>
      <c r="C85" s="119" t="e">
        <f t="shared" si="3"/>
        <v>#REF!</v>
      </c>
      <c r="D85" s="119" t="e">
        <f t="shared" si="4"/>
        <v>#REF!</v>
      </c>
      <c r="E85" s="119">
        <f t="shared" si="5"/>
        <v>0</v>
      </c>
      <c r="F85" s="119" t="e">
        <f>D20</f>
        <v>#REF!</v>
      </c>
      <c r="G85" s="120" t="e">
        <f t="shared" si="6"/>
        <v>#REF!</v>
      </c>
      <c r="I85" s="122"/>
      <c r="J85" s="49"/>
      <c r="K85" s="123"/>
      <c r="L85" s="49"/>
      <c r="N85" s="26"/>
    </row>
    <row r="86" spans="1:14" s="48" customFormat="1" x14ac:dyDescent="0.2">
      <c r="A86" s="118">
        <v>62</v>
      </c>
      <c r="B86" s="118" t="s">
        <v>349</v>
      </c>
      <c r="C86" s="119" t="e">
        <f t="shared" si="3"/>
        <v>#REF!</v>
      </c>
      <c r="D86" s="119" t="e">
        <f t="shared" si="4"/>
        <v>#REF!</v>
      </c>
      <c r="E86" s="119">
        <f t="shared" si="5"/>
        <v>0</v>
      </c>
      <c r="F86" s="119"/>
      <c r="G86" s="120" t="e">
        <f t="shared" si="6"/>
        <v>#REF!</v>
      </c>
      <c r="I86" s="122"/>
      <c r="J86" s="49"/>
      <c r="K86" s="123"/>
      <c r="L86" s="49"/>
      <c r="N86" s="26"/>
    </row>
    <row r="87" spans="1:14" x14ac:dyDescent="0.2">
      <c r="A87" s="10" t="s">
        <v>113</v>
      </c>
      <c r="B87" s="124"/>
      <c r="C87" s="125"/>
      <c r="D87" s="126"/>
      <c r="E87" s="126"/>
      <c r="F87" s="126"/>
      <c r="G87" s="82"/>
    </row>
    <row r="88" spans="1:14" ht="25.5" customHeight="1" x14ac:dyDescent="0.2">
      <c r="A88" s="723" t="s">
        <v>114</v>
      </c>
      <c r="B88" s="723"/>
      <c r="C88" s="723"/>
      <c r="D88" s="723"/>
      <c r="E88" s="723"/>
      <c r="F88" s="723"/>
      <c r="G88" s="723"/>
    </row>
    <row r="89" spans="1:14" ht="28.5" customHeight="1" x14ac:dyDescent="0.2">
      <c r="A89" s="722" t="s">
        <v>115</v>
      </c>
      <c r="B89" s="722"/>
      <c r="C89" s="722"/>
      <c r="D89" s="722"/>
      <c r="E89" s="722"/>
      <c r="F89" s="722"/>
      <c r="G89" s="722"/>
    </row>
    <row r="90" spans="1:14" x14ac:dyDescent="0.2">
      <c r="A90" s="722" t="s">
        <v>116</v>
      </c>
      <c r="B90" s="722"/>
      <c r="C90" s="722"/>
      <c r="D90" s="722"/>
      <c r="E90" s="722"/>
      <c r="F90" s="722"/>
      <c r="G90" s="722"/>
    </row>
    <row r="91" spans="1:14" ht="27.75" customHeight="1" x14ac:dyDescent="0.2">
      <c r="A91" s="722" t="s">
        <v>117</v>
      </c>
      <c r="B91" s="722"/>
      <c r="C91" s="722"/>
      <c r="D91" s="722"/>
      <c r="E91" s="722"/>
      <c r="F91" s="722"/>
      <c r="G91" s="722"/>
    </row>
    <row r="92" spans="1:14" x14ac:dyDescent="0.2">
      <c r="A92" s="723" t="s">
        <v>118</v>
      </c>
      <c r="B92" s="723"/>
      <c r="C92" s="723"/>
      <c r="D92" s="723"/>
      <c r="E92" s="723"/>
      <c r="F92" s="723"/>
      <c r="G92" s="723"/>
      <c r="H92" s="81"/>
      <c r="I92" s="127"/>
      <c r="J92" s="127"/>
    </row>
    <row r="93" spans="1:14" ht="21" customHeight="1" x14ac:dyDescent="0.2">
      <c r="A93" s="725" t="s">
        <v>119</v>
      </c>
      <c r="B93" s="725"/>
      <c r="C93" s="725"/>
      <c r="D93" s="725"/>
      <c r="E93" s="725"/>
      <c r="F93" s="725"/>
      <c r="G93" s="725"/>
      <c r="H93" s="81"/>
      <c r="I93" s="127"/>
      <c r="J93" s="127"/>
    </row>
    <row r="94" spans="1:14" ht="27" customHeight="1" x14ac:dyDescent="0.2">
      <c r="A94" s="725" t="s">
        <v>414</v>
      </c>
      <c r="B94" s="725"/>
      <c r="C94" s="725"/>
      <c r="D94" s="725"/>
      <c r="E94" s="725"/>
      <c r="F94" s="725"/>
      <c r="G94" s="725"/>
      <c r="H94" s="81"/>
      <c r="I94" s="127"/>
      <c r="J94" s="127"/>
    </row>
    <row r="95" spans="1:14" x14ac:dyDescent="0.2">
      <c r="A95" s="722" t="s">
        <v>413</v>
      </c>
      <c r="B95" s="722"/>
      <c r="C95" s="722"/>
      <c r="D95" s="722"/>
      <c r="E95" s="722"/>
      <c r="F95" s="722"/>
      <c r="G95" s="722"/>
      <c r="H95" s="81"/>
      <c r="I95" s="127"/>
      <c r="J95" s="127"/>
    </row>
    <row r="96" spans="1:14" x14ac:dyDescent="0.2">
      <c r="A96" s="26" t="s">
        <v>91</v>
      </c>
      <c r="H96" s="81"/>
      <c r="I96" s="127"/>
      <c r="J96" s="127"/>
    </row>
    <row r="97" spans="1:10" x14ac:dyDescent="0.2">
      <c r="H97" s="81"/>
      <c r="I97" s="127"/>
      <c r="J97" s="127"/>
    </row>
    <row r="98" spans="1:10" x14ac:dyDescent="0.2">
      <c r="A98" s="128"/>
      <c r="B98" s="129"/>
      <c r="F98" s="130"/>
      <c r="G98" s="130"/>
      <c r="H98" s="81"/>
      <c r="I98" s="127"/>
      <c r="J98" s="127"/>
    </row>
    <row r="99" spans="1:10" x14ac:dyDescent="0.2">
      <c r="A99" s="724" t="s">
        <v>92</v>
      </c>
      <c r="B99" s="724"/>
      <c r="F99" s="720" t="s">
        <v>93</v>
      </c>
      <c r="G99" s="720"/>
      <c r="H99" s="81"/>
      <c r="I99" s="127"/>
      <c r="J99" s="127"/>
    </row>
  </sheetData>
  <sheetProtection sheet="1" objects="1" scenarios="1"/>
  <mergeCells count="27">
    <mergeCell ref="B6:C6"/>
    <mergeCell ref="A99:B99"/>
    <mergeCell ref="F99:G99"/>
    <mergeCell ref="A95:G95"/>
    <mergeCell ref="A91:G91"/>
    <mergeCell ref="A93:G93"/>
    <mergeCell ref="A94:G94"/>
    <mergeCell ref="A90:G90"/>
    <mergeCell ref="A92:G92"/>
    <mergeCell ref="D19:E19"/>
    <mergeCell ref="A88:G88"/>
    <mergeCell ref="A89:G89"/>
    <mergeCell ref="D20:E20"/>
    <mergeCell ref="D21:E21"/>
    <mergeCell ref="B1:C1"/>
    <mergeCell ref="B2:C2"/>
    <mergeCell ref="B3:C3"/>
    <mergeCell ref="B4:C4"/>
    <mergeCell ref="B5:C5"/>
    <mergeCell ref="D17:E17"/>
    <mergeCell ref="D18:E18"/>
    <mergeCell ref="B7:C7"/>
    <mergeCell ref="B8:C8"/>
    <mergeCell ref="D12:E12"/>
    <mergeCell ref="D13:E13"/>
    <mergeCell ref="D14:E14"/>
    <mergeCell ref="D15:E15"/>
  </mergeCells>
  <hyperlinks>
    <hyperlink ref="G8" location="INPUT!A1" display="BACK TO INPUT" xr:uid="{00000000-0004-0000-0900-000000000000}"/>
  </hyperlinks>
  <printOptions horizontalCentered="1"/>
  <pageMargins left="0.25" right="0.25" top="0.75" bottom="0.75" header="0.3" footer="0.3"/>
  <pageSetup scale="87"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C00000"/>
  </sheetPr>
  <dimension ref="A1:O158"/>
  <sheetViews>
    <sheetView showGridLines="0" zoomScaleNormal="100" workbookViewId="0">
      <selection activeCell="G11" sqref="G11"/>
    </sheetView>
  </sheetViews>
  <sheetFormatPr baseColWidth="10" defaultColWidth="0" defaultRowHeight="15" x14ac:dyDescent="0.2"/>
  <cols>
    <col min="1" max="1" width="22.5" style="26" customWidth="1"/>
    <col min="2" max="2" width="15.5" style="25" bestFit="1" customWidth="1"/>
    <col min="3" max="3" width="14.33203125" style="26" bestFit="1" customWidth="1"/>
    <col min="4" max="5" width="14.33203125" style="27" bestFit="1" customWidth="1"/>
    <col min="6" max="6" width="13.83203125" style="27" bestFit="1" customWidth="1"/>
    <col min="7" max="7" width="21" style="27"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5" ht="20" customHeight="1" x14ac:dyDescent="0.2">
      <c r="A1" s="70" t="s">
        <v>2</v>
      </c>
      <c r="B1" s="734">
        <f>INPUT!D30</f>
        <v>0</v>
      </c>
      <c r="C1" s="735"/>
      <c r="I1" s="47" t="str">
        <f>INPUT!D32</f>
        <v>MIRANDA 715-B</v>
      </c>
      <c r="K1" s="71" t="e">
        <f>VLOOKUP($I$1,#REF!,44,FALSE)</f>
        <v>#REF!</v>
      </c>
      <c r="M1" s="72"/>
      <c r="N1" s="71"/>
    </row>
    <row r="2" spans="1:15" x14ac:dyDescent="0.2">
      <c r="A2" s="294" t="s">
        <v>3</v>
      </c>
      <c r="B2" s="736" t="str">
        <f>INPUT!D31</f>
        <v>New Buyer</v>
      </c>
      <c r="C2" s="736"/>
      <c r="I2" s="47" t="str">
        <f>INPUT!D37</f>
        <v>No</v>
      </c>
      <c r="J2" s="47" t="s">
        <v>108</v>
      </c>
      <c r="K2" s="71">
        <v>700000</v>
      </c>
      <c r="L2" s="73"/>
      <c r="M2" s="72"/>
      <c r="N2" s="26" t="s">
        <v>429</v>
      </c>
    </row>
    <row r="3" spans="1:15" x14ac:dyDescent="0.2">
      <c r="A3" s="291" t="s">
        <v>96</v>
      </c>
      <c r="B3" s="733" t="e">
        <f>VLOOKUP('RFO1'!I1,#REF!,2,FALSE)</f>
        <v>#REF!</v>
      </c>
      <c r="C3" s="733"/>
      <c r="J3" s="47" t="s">
        <v>109</v>
      </c>
      <c r="L3" s="73"/>
      <c r="M3" s="72"/>
      <c r="N3" s="26" t="s">
        <v>433</v>
      </c>
    </row>
    <row r="4" spans="1:15" x14ac:dyDescent="0.2">
      <c r="A4" s="291" t="s">
        <v>9</v>
      </c>
      <c r="B4" s="733" t="e">
        <f>VLOOKUP($I$1,#REF!,3,FALSE)</f>
        <v>#REF!</v>
      </c>
      <c r="C4" s="733"/>
      <c r="D4" s="74"/>
      <c r="E4" s="74"/>
      <c r="J4" s="47" t="s">
        <v>110</v>
      </c>
      <c r="L4" s="73"/>
      <c r="M4" s="72"/>
      <c r="N4" s="26" t="s">
        <v>434</v>
      </c>
    </row>
    <row r="5" spans="1:15" x14ac:dyDescent="0.2">
      <c r="A5" s="291" t="s">
        <v>4</v>
      </c>
      <c r="B5" s="733" t="e">
        <f>VLOOKUP($I$1,#REF!,5,FALSE)</f>
        <v>#REF!</v>
      </c>
      <c r="C5" s="733"/>
      <c r="D5" s="74"/>
      <c r="E5" s="74"/>
      <c r="L5" s="73"/>
      <c r="M5" s="72"/>
    </row>
    <row r="6" spans="1:15" x14ac:dyDescent="0.2">
      <c r="A6" s="291" t="s">
        <v>8</v>
      </c>
      <c r="B6" s="733" t="e">
        <f>VLOOKUP($I$1,#REF!,10,FALSE)</f>
        <v>#REF!</v>
      </c>
      <c r="C6" s="733"/>
      <c r="D6" s="74"/>
      <c r="E6" s="74"/>
      <c r="L6" s="73"/>
      <c r="M6" s="72"/>
    </row>
    <row r="7" spans="1:15" x14ac:dyDescent="0.2">
      <c r="A7" s="291" t="s">
        <v>10</v>
      </c>
      <c r="B7" s="733" t="e">
        <f>VLOOKUP($I$1,#REF!,6,FALSE)</f>
        <v>#REF!</v>
      </c>
      <c r="C7" s="733"/>
      <c r="D7" s="74"/>
      <c r="E7" s="74"/>
      <c r="L7" s="73"/>
    </row>
    <row r="8" spans="1:15" ht="35" customHeight="1" x14ac:dyDescent="0.2">
      <c r="A8" s="291" t="s">
        <v>23</v>
      </c>
      <c r="B8" s="729" t="str">
        <f>INPUT!F38</f>
        <v>SPOT 5% / 5% in 60 days / 90% in 120mos.     (SM EMPLOYEE)</v>
      </c>
      <c r="C8" s="729"/>
      <c r="D8" s="74"/>
      <c r="E8" s="74"/>
      <c r="G8" s="137" t="s">
        <v>412</v>
      </c>
      <c r="L8" s="73"/>
    </row>
    <row r="9" spans="1:15" x14ac:dyDescent="0.2">
      <c r="L9" s="73"/>
    </row>
    <row r="10" spans="1:15" ht="19" x14ac:dyDescent="0.25">
      <c r="A10" s="77" t="s">
        <v>24</v>
      </c>
      <c r="K10" s="26"/>
      <c r="L10" s="73"/>
    </row>
    <row r="11" spans="1:15" ht="19" x14ac:dyDescent="0.25">
      <c r="A11" s="77"/>
      <c r="D11" s="730" t="s">
        <v>106</v>
      </c>
      <c r="E11" s="730"/>
      <c r="F11" s="78" t="s">
        <v>107</v>
      </c>
      <c r="G11" s="78" t="s">
        <v>7</v>
      </c>
      <c r="K11" s="71" t="s">
        <v>260</v>
      </c>
      <c r="L11" s="73"/>
    </row>
    <row r="12" spans="1:15" x14ac:dyDescent="0.2">
      <c r="A12" s="26" t="s">
        <v>127</v>
      </c>
      <c r="D12" s="720" t="e">
        <f>K1</f>
        <v>#REF!</v>
      </c>
      <c r="E12" s="720"/>
      <c r="F12" s="27">
        <f>IF(I2=J2,K2,0)</f>
        <v>0</v>
      </c>
      <c r="G12" s="27" t="e">
        <f>D12+F12</f>
        <v>#REF!</v>
      </c>
      <c r="I12" s="79"/>
      <c r="L12" s="73"/>
    </row>
    <row r="13" spans="1:15" x14ac:dyDescent="0.2">
      <c r="A13" s="80" t="str">
        <f>IF(INPUT!$D$37=INPUT!$N$12,"          Bundled Share Promo","")</f>
        <v/>
      </c>
      <c r="C13" s="81"/>
      <c r="D13" s="721">
        <f>IF(INPUT!$D$37=INPUT!$N$12,INPUT!$D$38,0)</f>
        <v>0</v>
      </c>
      <c r="E13" s="721"/>
      <c r="F13" s="82">
        <v>0</v>
      </c>
      <c r="G13" s="82">
        <f>D13+F13</f>
        <v>0</v>
      </c>
      <c r="H13" s="81"/>
      <c r="I13" s="79"/>
      <c r="J13" s="83"/>
      <c r="K13" s="83"/>
      <c r="L13" s="73"/>
    </row>
    <row r="14" spans="1:15" s="93" customFormat="1" x14ac:dyDescent="0.2">
      <c r="A14" s="87" t="str">
        <f>IF(INPUT!$G$30=INPUT!$N$20,N4,"List Price (VAT-IN)")</f>
        <v>Discounted List Price (VAT-IN)</v>
      </c>
      <c r="B14" s="88"/>
      <c r="C14" s="89"/>
      <c r="D14" s="726" t="e">
        <f>D12-D13</f>
        <v>#REF!</v>
      </c>
      <c r="E14" s="726"/>
      <c r="F14" s="90">
        <f>F12-F13</f>
        <v>0</v>
      </c>
      <c r="G14" s="90" t="e">
        <f>SUM(D14:F14)</f>
        <v>#REF!</v>
      </c>
      <c r="H14" s="91"/>
      <c r="I14" s="92"/>
      <c r="N14" s="26"/>
    </row>
    <row r="15" spans="1:15" s="100" customFormat="1" x14ac:dyDescent="0.2">
      <c r="A15" s="94" t="str">
        <f>IF(INPUT!$G$30=INPUT!$N$20,"          Discounted List Price (VAT-EX)","          List Price (VAT-EX)")</f>
        <v xml:space="preserve">          Discounted List Price (VAT-EX)</v>
      </c>
      <c r="B15" s="95"/>
      <c r="C15" s="91"/>
      <c r="D15" s="96"/>
      <c r="E15" s="97" t="e">
        <f>D14/1.12</f>
        <v>#REF!</v>
      </c>
      <c r="F15" s="98">
        <v>0</v>
      </c>
      <c r="G15" s="98" t="e">
        <f>SUM(E15:F15)</f>
        <v>#REF!</v>
      </c>
      <c r="H15" s="91"/>
      <c r="I15" s="99"/>
      <c r="N15" s="93"/>
    </row>
    <row r="16" spans="1:15" x14ac:dyDescent="0.2">
      <c r="A16" s="80" t="str">
        <f>IF(INPUT!$D$31=INPUT!$Q$14,"          Less: Employee Disct","")</f>
        <v/>
      </c>
      <c r="C16" s="101" t="str">
        <f>IF($A$16=$N$2,5%,"")</f>
        <v/>
      </c>
      <c r="D16" s="721">
        <f>IF(A16=N2,(E15)*0.05,0)</f>
        <v>0</v>
      </c>
      <c r="E16" s="721"/>
      <c r="F16" s="82">
        <v>0</v>
      </c>
      <c r="G16" s="82">
        <f>SUM(D16:F16)</f>
        <v>0</v>
      </c>
      <c r="H16" s="81"/>
      <c r="I16" s="102"/>
      <c r="J16" s="103"/>
      <c r="K16" s="104"/>
      <c r="L16" s="73"/>
      <c r="M16" s="93"/>
      <c r="N16" s="100"/>
      <c r="O16" s="93"/>
    </row>
    <row r="17" spans="1:14" x14ac:dyDescent="0.2">
      <c r="A17" s="105" t="s">
        <v>432</v>
      </c>
      <c r="B17" s="106"/>
      <c r="C17" s="107"/>
      <c r="D17" s="726" t="e">
        <f>E15-D16</f>
        <v>#REF!</v>
      </c>
      <c r="E17" s="726"/>
      <c r="F17" s="108">
        <f>F14</f>
        <v>0</v>
      </c>
      <c r="G17" s="108" t="e">
        <f>SUM(D17:F17)</f>
        <v>#REF!</v>
      </c>
      <c r="H17" s="81"/>
      <c r="N17" s="93"/>
    </row>
    <row r="18" spans="1:14" x14ac:dyDescent="0.2">
      <c r="A18" s="80" t="s">
        <v>128</v>
      </c>
      <c r="C18" s="84">
        <v>0.12</v>
      </c>
      <c r="D18" s="728" t="e">
        <f>D17*C18</f>
        <v>#REF!</v>
      </c>
      <c r="E18" s="728"/>
      <c r="F18" s="109">
        <v>0</v>
      </c>
      <c r="G18" s="109" t="e">
        <f>SUM(D18:F18)</f>
        <v>#REF!</v>
      </c>
      <c r="H18" s="81"/>
    </row>
    <row r="19" spans="1:14" x14ac:dyDescent="0.2">
      <c r="A19" s="80" t="s">
        <v>129</v>
      </c>
      <c r="C19" s="110">
        <v>3.5000000000000003E-2</v>
      </c>
      <c r="D19" s="728" t="e">
        <f>D17*C19</f>
        <v>#REF!</v>
      </c>
      <c r="E19" s="728"/>
      <c r="F19" s="109">
        <v>0</v>
      </c>
      <c r="G19" s="111" t="e">
        <f>SUM(D19:F19)</f>
        <v>#REF!</v>
      </c>
    </row>
    <row r="20" spans="1:14" s="93" customFormat="1" x14ac:dyDescent="0.2">
      <c r="A20" s="112" t="s">
        <v>101</v>
      </c>
      <c r="B20" s="113"/>
      <c r="C20" s="114"/>
      <c r="D20" s="732" t="e">
        <f>SUM(D17:E19)</f>
        <v>#REF!</v>
      </c>
      <c r="E20" s="732"/>
      <c r="F20" s="115">
        <f>SUM(F17:F19)</f>
        <v>0</v>
      </c>
      <c r="G20" s="115" t="e">
        <f>SUM(D20:F20)</f>
        <v>#REF!</v>
      </c>
      <c r="I20" s="103"/>
      <c r="J20" s="103"/>
      <c r="K20" s="104"/>
      <c r="L20" s="103"/>
      <c r="N20" s="26"/>
    </row>
    <row r="21" spans="1:14" s="100" customFormat="1" x14ac:dyDescent="0.2">
      <c r="A21" s="138"/>
      <c r="B21" s="95"/>
      <c r="D21" s="96"/>
      <c r="E21" s="96"/>
      <c r="F21" s="133"/>
      <c r="G21" s="133"/>
      <c r="I21" s="139"/>
      <c r="J21" s="139"/>
      <c r="K21" s="140"/>
      <c r="L21" s="139"/>
      <c r="N21" s="93"/>
    </row>
    <row r="22" spans="1:14" x14ac:dyDescent="0.2">
      <c r="A22" s="116" t="s">
        <v>25</v>
      </c>
      <c r="B22" s="116" t="s">
        <v>26</v>
      </c>
      <c r="C22" s="117" t="s">
        <v>27</v>
      </c>
      <c r="D22" s="117" t="s">
        <v>106</v>
      </c>
      <c r="E22" s="117" t="s">
        <v>121</v>
      </c>
      <c r="F22" s="117" t="s">
        <v>90</v>
      </c>
      <c r="G22" s="117" t="s">
        <v>28</v>
      </c>
      <c r="I22" s="72"/>
      <c r="N22" s="93"/>
    </row>
    <row r="23" spans="1:14" x14ac:dyDescent="0.2">
      <c r="A23" s="118">
        <v>0</v>
      </c>
      <c r="B23" s="118" t="s">
        <v>29</v>
      </c>
      <c r="C23" s="119">
        <f>SUM(D23:E23)</f>
        <v>100000</v>
      </c>
      <c r="D23" s="119">
        <f>IF($I$2=$J$2,75000,100000)</f>
        <v>100000</v>
      </c>
      <c r="E23" s="119">
        <f>IF($I$2=$J$2,25000,0)</f>
        <v>0</v>
      </c>
      <c r="F23" s="119"/>
      <c r="G23" s="120" t="e">
        <f>G20-C23-F23</f>
        <v>#REF!</v>
      </c>
      <c r="N23" s="93"/>
    </row>
    <row r="24" spans="1:14" x14ac:dyDescent="0.2">
      <c r="A24" s="118">
        <v>1</v>
      </c>
      <c r="B24" s="118" t="s">
        <v>262</v>
      </c>
      <c r="C24" s="119" t="e">
        <f>SUM(D24:E24)</f>
        <v>#REF!</v>
      </c>
      <c r="D24" s="119" t="e">
        <f>((D17+D18)*I24-D23)/J24</f>
        <v>#REF!</v>
      </c>
      <c r="E24" s="119">
        <f>(F20*I24-E23)/J24</f>
        <v>0</v>
      </c>
      <c r="F24" s="119"/>
      <c r="G24" s="120" t="e">
        <f>G23-C24-F24</f>
        <v>#REF!</v>
      </c>
      <c r="I24" s="121">
        <v>0.05</v>
      </c>
      <c r="J24" s="47">
        <v>1</v>
      </c>
    </row>
    <row r="25" spans="1:14" s="48" customFormat="1" x14ac:dyDescent="0.2">
      <c r="A25" s="118">
        <v>2</v>
      </c>
      <c r="B25" s="118" t="s">
        <v>263</v>
      </c>
      <c r="C25" s="119" t="e">
        <f>SUM(D25:E25)</f>
        <v>#REF!</v>
      </c>
      <c r="D25" s="135" t="e">
        <f>(D17+D18)*I25</f>
        <v>#REF!</v>
      </c>
      <c r="E25" s="119">
        <f>F20*I25</f>
        <v>0</v>
      </c>
      <c r="F25" s="119"/>
      <c r="G25" s="120" t="e">
        <f>G24-C25-F25</f>
        <v>#REF!</v>
      </c>
      <c r="I25" s="121">
        <v>0.05</v>
      </c>
      <c r="J25" s="49"/>
      <c r="K25" s="123"/>
      <c r="L25" s="49"/>
      <c r="N25" s="26"/>
    </row>
    <row r="26" spans="1:14" s="48" customFormat="1" x14ac:dyDescent="0.2">
      <c r="A26" s="118">
        <v>3</v>
      </c>
      <c r="B26" s="118" t="s">
        <v>290</v>
      </c>
      <c r="C26" s="119" t="e">
        <f>SUM(D26:E26)</f>
        <v>#REF!</v>
      </c>
      <c r="D26" s="119" t="e">
        <f>(D17+D18)*I26/J26</f>
        <v>#REF!</v>
      </c>
      <c r="E26" s="119">
        <f>F20*I26/J26</f>
        <v>0</v>
      </c>
      <c r="F26" s="119"/>
      <c r="G26" s="120" t="e">
        <f>G25-C26-F26</f>
        <v>#REF!</v>
      </c>
      <c r="I26" s="122">
        <v>0.9</v>
      </c>
      <c r="J26" s="49">
        <v>120</v>
      </c>
      <c r="K26" s="123"/>
      <c r="L26" s="49"/>
      <c r="N26" s="26"/>
    </row>
    <row r="27" spans="1:14" s="48" customFormat="1" x14ac:dyDescent="0.2">
      <c r="A27" s="118">
        <v>4</v>
      </c>
      <c r="B27" s="118" t="s">
        <v>291</v>
      </c>
      <c r="C27" s="119" t="e">
        <f t="shared" ref="C27:C85" si="0">SUM(D27:E27)</f>
        <v>#REF!</v>
      </c>
      <c r="D27" s="119" t="e">
        <f>D26</f>
        <v>#REF!</v>
      </c>
      <c r="E27" s="119">
        <f>E26</f>
        <v>0</v>
      </c>
      <c r="F27" s="119"/>
      <c r="G27" s="120" t="e">
        <f t="shared" ref="G27:G47" si="1">G26-C27-F27</f>
        <v>#REF!</v>
      </c>
      <c r="I27" s="122"/>
      <c r="J27" s="49"/>
      <c r="K27" s="123"/>
      <c r="L27" s="49"/>
      <c r="N27" s="26"/>
    </row>
    <row r="28" spans="1:14" s="48" customFormat="1" x14ac:dyDescent="0.2">
      <c r="A28" s="118">
        <v>5</v>
      </c>
      <c r="B28" s="118" t="s">
        <v>292</v>
      </c>
      <c r="C28" s="119" t="e">
        <f t="shared" si="0"/>
        <v>#REF!</v>
      </c>
      <c r="D28" s="119" t="e">
        <f t="shared" ref="D28:E49" si="2">D27</f>
        <v>#REF!</v>
      </c>
      <c r="E28" s="119">
        <f t="shared" si="2"/>
        <v>0</v>
      </c>
      <c r="F28" s="119"/>
      <c r="G28" s="120" t="e">
        <f t="shared" si="1"/>
        <v>#REF!</v>
      </c>
      <c r="I28" s="122"/>
      <c r="J28" s="49"/>
      <c r="K28" s="123"/>
      <c r="L28" s="49"/>
    </row>
    <row r="29" spans="1:14" s="48" customFormat="1" x14ac:dyDescent="0.2">
      <c r="A29" s="118">
        <v>6</v>
      </c>
      <c r="B29" s="118" t="s">
        <v>293</v>
      </c>
      <c r="C29" s="119" t="e">
        <f t="shared" si="0"/>
        <v>#REF!</v>
      </c>
      <c r="D29" s="119" t="e">
        <f t="shared" si="2"/>
        <v>#REF!</v>
      </c>
      <c r="E29" s="119">
        <f t="shared" si="2"/>
        <v>0</v>
      </c>
      <c r="F29" s="119"/>
      <c r="G29" s="120" t="e">
        <f t="shared" si="1"/>
        <v>#REF!</v>
      </c>
      <c r="I29" s="122"/>
      <c r="J29" s="49"/>
      <c r="K29" s="123"/>
      <c r="L29" s="49"/>
      <c r="N29" s="26"/>
    </row>
    <row r="30" spans="1:14" s="48" customFormat="1" x14ac:dyDescent="0.2">
      <c r="A30" s="118">
        <v>7</v>
      </c>
      <c r="B30" s="118" t="s">
        <v>294</v>
      </c>
      <c r="C30" s="119" t="e">
        <f t="shared" si="0"/>
        <v>#REF!</v>
      </c>
      <c r="D30" s="119" t="e">
        <f t="shared" si="2"/>
        <v>#REF!</v>
      </c>
      <c r="E30" s="119">
        <f t="shared" si="2"/>
        <v>0</v>
      </c>
      <c r="F30" s="119"/>
      <c r="G30" s="120" t="e">
        <f t="shared" si="1"/>
        <v>#REF!</v>
      </c>
      <c r="I30" s="122"/>
      <c r="J30" s="49"/>
      <c r="K30" s="123"/>
      <c r="L30" s="49"/>
      <c r="N30" s="26"/>
    </row>
    <row r="31" spans="1:14" s="48" customFormat="1" x14ac:dyDescent="0.2">
      <c r="A31" s="118">
        <v>8</v>
      </c>
      <c r="B31" s="118" t="s">
        <v>295</v>
      </c>
      <c r="C31" s="119" t="e">
        <f t="shared" si="0"/>
        <v>#REF!</v>
      </c>
      <c r="D31" s="119" t="e">
        <f t="shared" si="2"/>
        <v>#REF!</v>
      </c>
      <c r="E31" s="119">
        <f t="shared" si="2"/>
        <v>0</v>
      </c>
      <c r="F31" s="119"/>
      <c r="G31" s="120" t="e">
        <f t="shared" si="1"/>
        <v>#REF!</v>
      </c>
      <c r="I31" s="122"/>
      <c r="J31" s="49"/>
      <c r="K31" s="123"/>
      <c r="L31" s="49"/>
      <c r="N31" s="26"/>
    </row>
    <row r="32" spans="1:14" s="48" customFormat="1" x14ac:dyDescent="0.2">
      <c r="A32" s="118">
        <v>9</v>
      </c>
      <c r="B32" s="118" t="s">
        <v>296</v>
      </c>
      <c r="C32" s="119" t="e">
        <f t="shared" si="0"/>
        <v>#REF!</v>
      </c>
      <c r="D32" s="119" t="e">
        <f t="shared" si="2"/>
        <v>#REF!</v>
      </c>
      <c r="E32" s="119">
        <f t="shared" si="2"/>
        <v>0</v>
      </c>
      <c r="F32" s="119"/>
      <c r="G32" s="120" t="e">
        <f t="shared" si="1"/>
        <v>#REF!</v>
      </c>
      <c r="I32" s="122"/>
      <c r="J32" s="49"/>
      <c r="K32" s="123"/>
      <c r="L32" s="49"/>
      <c r="N32" s="26"/>
    </row>
    <row r="33" spans="1:14" s="48" customFormat="1" x14ac:dyDescent="0.2">
      <c r="A33" s="118">
        <v>10</v>
      </c>
      <c r="B33" s="118" t="s">
        <v>297</v>
      </c>
      <c r="C33" s="119" t="e">
        <f t="shared" si="0"/>
        <v>#REF!</v>
      </c>
      <c r="D33" s="119" t="e">
        <f t="shared" si="2"/>
        <v>#REF!</v>
      </c>
      <c r="E33" s="119">
        <f t="shared" si="2"/>
        <v>0</v>
      </c>
      <c r="F33" s="119"/>
      <c r="G33" s="120" t="e">
        <f t="shared" si="1"/>
        <v>#REF!</v>
      </c>
      <c r="I33" s="122"/>
      <c r="J33" s="49"/>
      <c r="K33" s="123"/>
      <c r="L33" s="49"/>
      <c r="N33" s="26"/>
    </row>
    <row r="34" spans="1:14" s="48" customFormat="1" x14ac:dyDescent="0.2">
      <c r="A34" s="118">
        <v>11</v>
      </c>
      <c r="B34" s="118" t="s">
        <v>298</v>
      </c>
      <c r="C34" s="119" t="e">
        <f t="shared" si="0"/>
        <v>#REF!</v>
      </c>
      <c r="D34" s="119" t="e">
        <f t="shared" si="2"/>
        <v>#REF!</v>
      </c>
      <c r="E34" s="119">
        <f t="shared" si="2"/>
        <v>0</v>
      </c>
      <c r="F34" s="119"/>
      <c r="G34" s="120" t="e">
        <f t="shared" si="1"/>
        <v>#REF!</v>
      </c>
      <c r="I34" s="122"/>
      <c r="J34" s="49"/>
      <c r="K34" s="123"/>
      <c r="L34" s="49"/>
      <c r="N34" s="26"/>
    </row>
    <row r="35" spans="1:14" s="48" customFormat="1" x14ac:dyDescent="0.2">
      <c r="A35" s="118">
        <v>12</v>
      </c>
      <c r="B35" s="118" t="s">
        <v>299</v>
      </c>
      <c r="C35" s="119" t="e">
        <f t="shared" si="0"/>
        <v>#REF!</v>
      </c>
      <c r="D35" s="119" t="e">
        <f t="shared" si="2"/>
        <v>#REF!</v>
      </c>
      <c r="E35" s="119">
        <f t="shared" si="2"/>
        <v>0</v>
      </c>
      <c r="F35" s="119"/>
      <c r="G35" s="120" t="e">
        <f t="shared" si="1"/>
        <v>#REF!</v>
      </c>
      <c r="I35" s="122"/>
      <c r="J35" s="49"/>
      <c r="K35" s="123"/>
      <c r="L35" s="49"/>
      <c r="N35" s="26"/>
    </row>
    <row r="36" spans="1:14" s="48" customFormat="1" x14ac:dyDescent="0.2">
      <c r="A36" s="118">
        <v>13</v>
      </c>
      <c r="B36" s="118" t="s">
        <v>300</v>
      </c>
      <c r="C36" s="119" t="e">
        <f t="shared" si="0"/>
        <v>#REF!</v>
      </c>
      <c r="D36" s="119" t="e">
        <f t="shared" si="2"/>
        <v>#REF!</v>
      </c>
      <c r="E36" s="119">
        <f t="shared" si="2"/>
        <v>0</v>
      </c>
      <c r="F36" s="119"/>
      <c r="G36" s="120" t="e">
        <f t="shared" si="1"/>
        <v>#REF!</v>
      </c>
      <c r="I36" s="122"/>
      <c r="J36" s="49"/>
      <c r="K36" s="123"/>
      <c r="L36" s="49"/>
      <c r="N36" s="26"/>
    </row>
    <row r="37" spans="1:14" s="48" customFormat="1" x14ac:dyDescent="0.2">
      <c r="A37" s="118">
        <v>14</v>
      </c>
      <c r="B37" s="118" t="s">
        <v>301</v>
      </c>
      <c r="C37" s="119" t="e">
        <f t="shared" si="0"/>
        <v>#REF!</v>
      </c>
      <c r="D37" s="119" t="e">
        <f t="shared" si="2"/>
        <v>#REF!</v>
      </c>
      <c r="E37" s="119">
        <f t="shared" si="2"/>
        <v>0</v>
      </c>
      <c r="F37" s="119"/>
      <c r="G37" s="120" t="e">
        <f t="shared" si="1"/>
        <v>#REF!</v>
      </c>
      <c r="I37" s="122"/>
      <c r="J37" s="49"/>
      <c r="K37" s="123"/>
      <c r="L37" s="49"/>
      <c r="N37" s="26"/>
    </row>
    <row r="38" spans="1:14" s="48" customFormat="1" x14ac:dyDescent="0.2">
      <c r="A38" s="118">
        <v>15</v>
      </c>
      <c r="B38" s="118" t="s">
        <v>302</v>
      </c>
      <c r="C38" s="119" t="e">
        <f t="shared" si="0"/>
        <v>#REF!</v>
      </c>
      <c r="D38" s="119" t="e">
        <f t="shared" si="2"/>
        <v>#REF!</v>
      </c>
      <c r="E38" s="119">
        <f t="shared" si="2"/>
        <v>0</v>
      </c>
      <c r="F38" s="119"/>
      <c r="G38" s="120" t="e">
        <f t="shared" si="1"/>
        <v>#REF!</v>
      </c>
      <c r="I38" s="122"/>
      <c r="J38" s="49"/>
      <c r="K38" s="123"/>
      <c r="L38" s="49"/>
      <c r="N38" s="26"/>
    </row>
    <row r="39" spans="1:14" s="48" customFormat="1" x14ac:dyDescent="0.2">
      <c r="A39" s="118">
        <v>16</v>
      </c>
      <c r="B39" s="118" t="s">
        <v>303</v>
      </c>
      <c r="C39" s="119" t="e">
        <f t="shared" si="0"/>
        <v>#REF!</v>
      </c>
      <c r="D39" s="119" t="e">
        <f t="shared" si="2"/>
        <v>#REF!</v>
      </c>
      <c r="E39" s="119">
        <f t="shared" si="2"/>
        <v>0</v>
      </c>
      <c r="F39" s="119"/>
      <c r="G39" s="120" t="e">
        <f t="shared" si="1"/>
        <v>#REF!</v>
      </c>
      <c r="I39" s="122"/>
      <c r="J39" s="49"/>
      <c r="K39" s="123"/>
      <c r="L39" s="49"/>
      <c r="N39" s="26"/>
    </row>
    <row r="40" spans="1:14" s="48" customFormat="1" x14ac:dyDescent="0.2">
      <c r="A40" s="118">
        <v>17</v>
      </c>
      <c r="B40" s="118" t="s">
        <v>304</v>
      </c>
      <c r="C40" s="119" t="e">
        <f t="shared" si="0"/>
        <v>#REF!</v>
      </c>
      <c r="D40" s="119" t="e">
        <f t="shared" si="2"/>
        <v>#REF!</v>
      </c>
      <c r="E40" s="119">
        <f t="shared" si="2"/>
        <v>0</v>
      </c>
      <c r="F40" s="119"/>
      <c r="G40" s="120" t="e">
        <f t="shared" si="1"/>
        <v>#REF!</v>
      </c>
      <c r="I40" s="122"/>
      <c r="J40" s="49"/>
      <c r="K40" s="123"/>
      <c r="L40" s="49"/>
      <c r="N40" s="26"/>
    </row>
    <row r="41" spans="1:14" s="48" customFormat="1" x14ac:dyDescent="0.2">
      <c r="A41" s="118">
        <v>18</v>
      </c>
      <c r="B41" s="118" t="s">
        <v>305</v>
      </c>
      <c r="C41" s="119" t="e">
        <f t="shared" si="0"/>
        <v>#REF!</v>
      </c>
      <c r="D41" s="119" t="e">
        <f t="shared" si="2"/>
        <v>#REF!</v>
      </c>
      <c r="E41" s="119">
        <f t="shared" si="2"/>
        <v>0</v>
      </c>
      <c r="F41" s="119"/>
      <c r="G41" s="120" t="e">
        <f t="shared" si="1"/>
        <v>#REF!</v>
      </c>
      <c r="I41" s="122"/>
      <c r="J41" s="49"/>
      <c r="K41" s="123"/>
      <c r="L41" s="49"/>
      <c r="N41" s="26"/>
    </row>
    <row r="42" spans="1:14" s="48" customFormat="1" x14ac:dyDescent="0.2">
      <c r="A42" s="118">
        <v>19</v>
      </c>
      <c r="B42" s="118" t="s">
        <v>306</v>
      </c>
      <c r="C42" s="119" t="e">
        <f t="shared" si="0"/>
        <v>#REF!</v>
      </c>
      <c r="D42" s="119" t="e">
        <f t="shared" si="2"/>
        <v>#REF!</v>
      </c>
      <c r="E42" s="119">
        <f t="shared" si="2"/>
        <v>0</v>
      </c>
      <c r="F42" s="119"/>
      <c r="G42" s="120" t="e">
        <f t="shared" si="1"/>
        <v>#REF!</v>
      </c>
      <c r="I42" s="122"/>
      <c r="J42" s="49"/>
      <c r="K42" s="123"/>
      <c r="L42" s="49"/>
      <c r="N42" s="26"/>
    </row>
    <row r="43" spans="1:14" s="48" customFormat="1" x14ac:dyDescent="0.2">
      <c r="A43" s="118">
        <v>20</v>
      </c>
      <c r="B43" s="118" t="s">
        <v>307</v>
      </c>
      <c r="C43" s="119" t="e">
        <f t="shared" si="0"/>
        <v>#REF!</v>
      </c>
      <c r="D43" s="119" t="e">
        <f t="shared" si="2"/>
        <v>#REF!</v>
      </c>
      <c r="E43" s="119">
        <f t="shared" si="2"/>
        <v>0</v>
      </c>
      <c r="F43" s="119"/>
      <c r="G43" s="120" t="e">
        <f t="shared" si="1"/>
        <v>#REF!</v>
      </c>
      <c r="I43" s="122"/>
      <c r="J43" s="49"/>
      <c r="K43" s="123"/>
      <c r="L43" s="49"/>
      <c r="N43" s="26"/>
    </row>
    <row r="44" spans="1:14" s="48" customFormat="1" x14ac:dyDescent="0.2">
      <c r="A44" s="118">
        <v>21</v>
      </c>
      <c r="B44" s="118" t="s">
        <v>308</v>
      </c>
      <c r="C44" s="119" t="e">
        <f t="shared" si="0"/>
        <v>#REF!</v>
      </c>
      <c r="D44" s="119" t="e">
        <f t="shared" si="2"/>
        <v>#REF!</v>
      </c>
      <c r="E44" s="119">
        <f t="shared" si="2"/>
        <v>0</v>
      </c>
      <c r="F44" s="119"/>
      <c r="G44" s="120" t="e">
        <f t="shared" si="1"/>
        <v>#REF!</v>
      </c>
      <c r="I44" s="122"/>
      <c r="J44" s="49"/>
      <c r="K44" s="123"/>
      <c r="L44" s="49"/>
      <c r="N44" s="26"/>
    </row>
    <row r="45" spans="1:14" s="48" customFormat="1" x14ac:dyDescent="0.2">
      <c r="A45" s="118">
        <v>22</v>
      </c>
      <c r="B45" s="118" t="s">
        <v>309</v>
      </c>
      <c r="C45" s="119" t="e">
        <f t="shared" si="0"/>
        <v>#REF!</v>
      </c>
      <c r="D45" s="119" t="e">
        <f t="shared" si="2"/>
        <v>#REF!</v>
      </c>
      <c r="E45" s="119">
        <f t="shared" si="2"/>
        <v>0</v>
      </c>
      <c r="F45" s="119"/>
      <c r="G45" s="120" t="e">
        <f t="shared" si="1"/>
        <v>#REF!</v>
      </c>
      <c r="I45" s="122"/>
      <c r="J45" s="49"/>
      <c r="K45" s="123"/>
      <c r="L45" s="49"/>
      <c r="N45" s="26"/>
    </row>
    <row r="46" spans="1:14" s="48" customFormat="1" x14ac:dyDescent="0.2">
      <c r="A46" s="118">
        <v>23</v>
      </c>
      <c r="B46" s="118" t="s">
        <v>310</v>
      </c>
      <c r="C46" s="119" t="e">
        <f t="shared" si="0"/>
        <v>#REF!</v>
      </c>
      <c r="D46" s="119" t="e">
        <f t="shared" si="2"/>
        <v>#REF!</v>
      </c>
      <c r="E46" s="119">
        <f t="shared" si="2"/>
        <v>0</v>
      </c>
      <c r="F46" s="119"/>
      <c r="G46" s="120" t="e">
        <f t="shared" si="1"/>
        <v>#REF!</v>
      </c>
      <c r="I46" s="122"/>
      <c r="J46" s="49"/>
      <c r="K46" s="123"/>
      <c r="L46" s="49"/>
      <c r="N46" s="26"/>
    </row>
    <row r="47" spans="1:14" s="48" customFormat="1" x14ac:dyDescent="0.2">
      <c r="A47" s="118">
        <v>24</v>
      </c>
      <c r="B47" s="118" t="s">
        <v>311</v>
      </c>
      <c r="C47" s="119" t="e">
        <f t="shared" si="0"/>
        <v>#REF!</v>
      </c>
      <c r="D47" s="119" t="e">
        <f t="shared" si="2"/>
        <v>#REF!</v>
      </c>
      <c r="E47" s="119">
        <f t="shared" si="2"/>
        <v>0</v>
      </c>
      <c r="F47" s="119"/>
      <c r="G47" s="120" t="e">
        <f t="shared" si="1"/>
        <v>#REF!</v>
      </c>
      <c r="I47" s="122"/>
      <c r="J47" s="49"/>
      <c r="K47" s="123"/>
      <c r="L47" s="49"/>
      <c r="N47" s="26"/>
    </row>
    <row r="48" spans="1:14" s="48" customFormat="1" x14ac:dyDescent="0.2">
      <c r="A48" s="118">
        <v>25</v>
      </c>
      <c r="B48" s="118" t="s">
        <v>312</v>
      </c>
      <c r="C48" s="119" t="e">
        <f t="shared" si="0"/>
        <v>#REF!</v>
      </c>
      <c r="D48" s="119" t="e">
        <f t="shared" si="2"/>
        <v>#REF!</v>
      </c>
      <c r="E48" s="119">
        <f t="shared" si="2"/>
        <v>0</v>
      </c>
      <c r="F48" s="119"/>
      <c r="G48" s="120" t="e">
        <f>G47-C48-F48</f>
        <v>#REF!</v>
      </c>
      <c r="I48" s="122"/>
      <c r="J48" s="49"/>
      <c r="K48" s="123"/>
      <c r="L48" s="49"/>
      <c r="N48" s="26"/>
    </row>
    <row r="49" spans="1:14" s="48" customFormat="1" x14ac:dyDescent="0.2">
      <c r="A49" s="118">
        <v>26</v>
      </c>
      <c r="B49" s="118" t="s">
        <v>313</v>
      </c>
      <c r="C49" s="119" t="e">
        <f t="shared" si="0"/>
        <v>#REF!</v>
      </c>
      <c r="D49" s="119" t="e">
        <f t="shared" si="2"/>
        <v>#REF!</v>
      </c>
      <c r="E49" s="119">
        <f t="shared" si="2"/>
        <v>0</v>
      </c>
      <c r="F49" s="119"/>
      <c r="G49" s="120" t="e">
        <f>G48-C49-F49</f>
        <v>#REF!</v>
      </c>
      <c r="I49" s="122"/>
      <c r="J49" s="49"/>
      <c r="K49" s="123"/>
      <c r="L49" s="49"/>
      <c r="N49" s="26"/>
    </row>
    <row r="50" spans="1:14" s="48" customFormat="1" x14ac:dyDescent="0.2">
      <c r="A50" s="118">
        <v>27</v>
      </c>
      <c r="B50" s="118" t="s">
        <v>314</v>
      </c>
      <c r="C50" s="119" t="e">
        <f t="shared" si="0"/>
        <v>#REF!</v>
      </c>
      <c r="D50" s="119" t="e">
        <f t="shared" ref="D50:E85" si="3">D49</f>
        <v>#REF!</v>
      </c>
      <c r="E50" s="119">
        <f t="shared" si="3"/>
        <v>0</v>
      </c>
      <c r="F50" s="119"/>
      <c r="G50" s="120" t="e">
        <f t="shared" ref="G50:G85" si="4">G49-C50-F50</f>
        <v>#REF!</v>
      </c>
      <c r="I50" s="122"/>
      <c r="J50" s="49"/>
      <c r="K50" s="123"/>
      <c r="L50" s="49"/>
      <c r="N50" s="26"/>
    </row>
    <row r="51" spans="1:14" s="48" customFormat="1" x14ac:dyDescent="0.2">
      <c r="A51" s="118">
        <v>28</v>
      </c>
      <c r="B51" s="118" t="s">
        <v>315</v>
      </c>
      <c r="C51" s="119" t="e">
        <f t="shared" si="0"/>
        <v>#REF!</v>
      </c>
      <c r="D51" s="119" t="e">
        <f t="shared" si="3"/>
        <v>#REF!</v>
      </c>
      <c r="E51" s="119">
        <f t="shared" si="3"/>
        <v>0</v>
      </c>
      <c r="F51" s="119"/>
      <c r="G51" s="120" t="e">
        <f t="shared" si="4"/>
        <v>#REF!</v>
      </c>
      <c r="I51" s="122"/>
      <c r="J51" s="49"/>
      <c r="K51" s="123"/>
      <c r="L51" s="49"/>
      <c r="N51" s="26"/>
    </row>
    <row r="52" spans="1:14" s="48" customFormat="1" x14ac:dyDescent="0.2">
      <c r="A52" s="118">
        <v>29</v>
      </c>
      <c r="B52" s="118" t="s">
        <v>316</v>
      </c>
      <c r="C52" s="119" t="e">
        <f t="shared" si="0"/>
        <v>#REF!</v>
      </c>
      <c r="D52" s="119" t="e">
        <f t="shared" si="3"/>
        <v>#REF!</v>
      </c>
      <c r="E52" s="119">
        <f t="shared" si="3"/>
        <v>0</v>
      </c>
      <c r="F52" s="119"/>
      <c r="G52" s="120" t="e">
        <f t="shared" si="4"/>
        <v>#REF!</v>
      </c>
      <c r="I52" s="122"/>
      <c r="J52" s="49"/>
      <c r="K52" s="123"/>
      <c r="L52" s="49"/>
      <c r="N52" s="26"/>
    </row>
    <row r="53" spans="1:14" s="48" customFormat="1" x14ac:dyDescent="0.2">
      <c r="A53" s="118">
        <v>30</v>
      </c>
      <c r="B53" s="118" t="s">
        <v>317</v>
      </c>
      <c r="C53" s="119" t="e">
        <f t="shared" si="0"/>
        <v>#REF!</v>
      </c>
      <c r="D53" s="119" t="e">
        <f t="shared" si="3"/>
        <v>#REF!</v>
      </c>
      <c r="E53" s="119">
        <f t="shared" si="3"/>
        <v>0</v>
      </c>
      <c r="F53" s="119"/>
      <c r="G53" s="120" t="e">
        <f t="shared" si="4"/>
        <v>#REF!</v>
      </c>
      <c r="I53" s="122"/>
      <c r="J53" s="49"/>
      <c r="K53" s="123"/>
      <c r="L53" s="49"/>
      <c r="N53" s="26"/>
    </row>
    <row r="54" spans="1:14" s="48" customFormat="1" x14ac:dyDescent="0.2">
      <c r="A54" s="118">
        <v>31</v>
      </c>
      <c r="B54" s="118" t="s">
        <v>318</v>
      </c>
      <c r="C54" s="119" t="e">
        <f t="shared" si="0"/>
        <v>#REF!</v>
      </c>
      <c r="D54" s="119" t="e">
        <f t="shared" si="3"/>
        <v>#REF!</v>
      </c>
      <c r="E54" s="119">
        <f t="shared" si="3"/>
        <v>0</v>
      </c>
      <c r="F54" s="119"/>
      <c r="G54" s="120" t="e">
        <f t="shared" si="4"/>
        <v>#REF!</v>
      </c>
      <c r="I54" s="122"/>
      <c r="J54" s="49"/>
      <c r="K54" s="123"/>
      <c r="L54" s="49"/>
      <c r="N54" s="26"/>
    </row>
    <row r="55" spans="1:14" s="48" customFormat="1" x14ac:dyDescent="0.2">
      <c r="A55" s="118">
        <v>32</v>
      </c>
      <c r="B55" s="118" t="s">
        <v>319</v>
      </c>
      <c r="C55" s="119" t="e">
        <f t="shared" si="0"/>
        <v>#REF!</v>
      </c>
      <c r="D55" s="119" t="e">
        <f t="shared" si="3"/>
        <v>#REF!</v>
      </c>
      <c r="E55" s="119">
        <f t="shared" si="3"/>
        <v>0</v>
      </c>
      <c r="F55" s="119"/>
      <c r="G55" s="120" t="e">
        <f t="shared" si="4"/>
        <v>#REF!</v>
      </c>
      <c r="I55" s="122"/>
      <c r="J55" s="49"/>
      <c r="K55" s="123"/>
      <c r="L55" s="49"/>
      <c r="N55" s="26"/>
    </row>
    <row r="56" spans="1:14" s="48" customFormat="1" x14ac:dyDescent="0.2">
      <c r="A56" s="118">
        <v>33</v>
      </c>
      <c r="B56" s="118" t="s">
        <v>320</v>
      </c>
      <c r="C56" s="119" t="e">
        <f t="shared" si="0"/>
        <v>#REF!</v>
      </c>
      <c r="D56" s="119" t="e">
        <f t="shared" si="3"/>
        <v>#REF!</v>
      </c>
      <c r="E56" s="119">
        <f t="shared" si="3"/>
        <v>0</v>
      </c>
      <c r="F56" s="119"/>
      <c r="G56" s="120" t="e">
        <f t="shared" si="4"/>
        <v>#REF!</v>
      </c>
      <c r="I56" s="122"/>
      <c r="J56" s="49"/>
      <c r="K56" s="123"/>
      <c r="L56" s="49"/>
      <c r="N56" s="26"/>
    </row>
    <row r="57" spans="1:14" s="48" customFormat="1" x14ac:dyDescent="0.2">
      <c r="A57" s="118">
        <v>34</v>
      </c>
      <c r="B57" s="118" t="s">
        <v>321</v>
      </c>
      <c r="C57" s="119" t="e">
        <f t="shared" si="0"/>
        <v>#REF!</v>
      </c>
      <c r="D57" s="119" t="e">
        <f t="shared" si="3"/>
        <v>#REF!</v>
      </c>
      <c r="E57" s="119">
        <f t="shared" si="3"/>
        <v>0</v>
      </c>
      <c r="F57" s="119"/>
      <c r="G57" s="120" t="e">
        <f t="shared" si="4"/>
        <v>#REF!</v>
      </c>
      <c r="I57" s="122"/>
      <c r="J57" s="49"/>
      <c r="K57" s="123"/>
      <c r="L57" s="49"/>
      <c r="N57" s="26"/>
    </row>
    <row r="58" spans="1:14" s="48" customFormat="1" x14ac:dyDescent="0.2">
      <c r="A58" s="118">
        <v>35</v>
      </c>
      <c r="B58" s="118" t="s">
        <v>322</v>
      </c>
      <c r="C58" s="119" t="e">
        <f t="shared" si="0"/>
        <v>#REF!</v>
      </c>
      <c r="D58" s="119" t="e">
        <f t="shared" si="3"/>
        <v>#REF!</v>
      </c>
      <c r="E58" s="119">
        <f t="shared" si="3"/>
        <v>0</v>
      </c>
      <c r="F58" s="119"/>
      <c r="G58" s="120" t="e">
        <f t="shared" si="4"/>
        <v>#REF!</v>
      </c>
      <c r="I58" s="122"/>
      <c r="J58" s="49"/>
      <c r="K58" s="123"/>
      <c r="L58" s="49"/>
      <c r="N58" s="26"/>
    </row>
    <row r="59" spans="1:14" s="48" customFormat="1" x14ac:dyDescent="0.2">
      <c r="A59" s="118">
        <v>36</v>
      </c>
      <c r="B59" s="118" t="s">
        <v>323</v>
      </c>
      <c r="C59" s="119" t="e">
        <f t="shared" si="0"/>
        <v>#REF!</v>
      </c>
      <c r="D59" s="119" t="e">
        <f t="shared" si="3"/>
        <v>#REF!</v>
      </c>
      <c r="E59" s="119">
        <f t="shared" si="3"/>
        <v>0</v>
      </c>
      <c r="F59" s="119"/>
      <c r="G59" s="120" t="e">
        <f t="shared" si="4"/>
        <v>#REF!</v>
      </c>
      <c r="I59" s="122"/>
      <c r="J59" s="49"/>
      <c r="K59" s="123"/>
      <c r="L59" s="49"/>
      <c r="N59" s="26"/>
    </row>
    <row r="60" spans="1:14" s="48" customFormat="1" x14ac:dyDescent="0.2">
      <c r="A60" s="118">
        <v>37</v>
      </c>
      <c r="B60" s="118" t="s">
        <v>324</v>
      </c>
      <c r="C60" s="119" t="e">
        <f t="shared" si="0"/>
        <v>#REF!</v>
      </c>
      <c r="D60" s="119" t="e">
        <f t="shared" si="3"/>
        <v>#REF!</v>
      </c>
      <c r="E60" s="119">
        <f t="shared" si="3"/>
        <v>0</v>
      </c>
      <c r="F60" s="119"/>
      <c r="G60" s="120" t="e">
        <f t="shared" si="4"/>
        <v>#REF!</v>
      </c>
      <c r="I60" s="122"/>
      <c r="J60" s="49"/>
      <c r="K60" s="123"/>
      <c r="L60" s="49"/>
      <c r="N60" s="26"/>
    </row>
    <row r="61" spans="1:14" s="48" customFormat="1" x14ac:dyDescent="0.2">
      <c r="A61" s="118">
        <v>38</v>
      </c>
      <c r="B61" s="118" t="s">
        <v>325</v>
      </c>
      <c r="C61" s="119" t="e">
        <f t="shared" si="0"/>
        <v>#REF!</v>
      </c>
      <c r="D61" s="119" t="e">
        <f t="shared" si="3"/>
        <v>#REF!</v>
      </c>
      <c r="E61" s="119">
        <f t="shared" si="3"/>
        <v>0</v>
      </c>
      <c r="F61" s="119"/>
      <c r="G61" s="120" t="e">
        <f t="shared" si="4"/>
        <v>#REF!</v>
      </c>
      <c r="I61" s="122"/>
      <c r="J61" s="49"/>
      <c r="K61" s="123"/>
      <c r="L61" s="49"/>
      <c r="N61" s="26"/>
    </row>
    <row r="62" spans="1:14" s="48" customFormat="1" x14ac:dyDescent="0.2">
      <c r="A62" s="118">
        <v>39</v>
      </c>
      <c r="B62" s="118" t="s">
        <v>326</v>
      </c>
      <c r="C62" s="119" t="e">
        <f t="shared" si="0"/>
        <v>#REF!</v>
      </c>
      <c r="D62" s="119" t="e">
        <f t="shared" si="3"/>
        <v>#REF!</v>
      </c>
      <c r="E62" s="119">
        <f t="shared" si="3"/>
        <v>0</v>
      </c>
      <c r="F62" s="119"/>
      <c r="G62" s="120" t="e">
        <f t="shared" si="4"/>
        <v>#REF!</v>
      </c>
      <c r="I62" s="122"/>
      <c r="J62" s="49"/>
      <c r="K62" s="123"/>
      <c r="L62" s="49"/>
      <c r="N62" s="26"/>
    </row>
    <row r="63" spans="1:14" s="48" customFormat="1" x14ac:dyDescent="0.2">
      <c r="A63" s="118">
        <v>40</v>
      </c>
      <c r="B63" s="118" t="s">
        <v>327</v>
      </c>
      <c r="C63" s="119" t="e">
        <f t="shared" si="0"/>
        <v>#REF!</v>
      </c>
      <c r="D63" s="119" t="e">
        <f t="shared" si="3"/>
        <v>#REF!</v>
      </c>
      <c r="E63" s="119">
        <f t="shared" si="3"/>
        <v>0</v>
      </c>
      <c r="F63" s="119"/>
      <c r="G63" s="120" t="e">
        <f t="shared" si="4"/>
        <v>#REF!</v>
      </c>
      <c r="I63" s="122"/>
      <c r="J63" s="49"/>
      <c r="K63" s="123"/>
      <c r="L63" s="49"/>
      <c r="N63" s="26"/>
    </row>
    <row r="64" spans="1:14" s="48" customFormat="1" x14ac:dyDescent="0.2">
      <c r="A64" s="118">
        <v>41</v>
      </c>
      <c r="B64" s="118" t="s">
        <v>328</v>
      </c>
      <c r="C64" s="119" t="e">
        <f t="shared" si="0"/>
        <v>#REF!</v>
      </c>
      <c r="D64" s="119" t="e">
        <f t="shared" si="3"/>
        <v>#REF!</v>
      </c>
      <c r="E64" s="119">
        <f t="shared" si="3"/>
        <v>0</v>
      </c>
      <c r="F64" s="119"/>
      <c r="G64" s="120" t="e">
        <f t="shared" si="4"/>
        <v>#REF!</v>
      </c>
      <c r="I64" s="122"/>
      <c r="J64" s="49"/>
      <c r="K64" s="123"/>
      <c r="L64" s="49"/>
      <c r="N64" s="26"/>
    </row>
    <row r="65" spans="1:14" s="48" customFormat="1" x14ac:dyDescent="0.2">
      <c r="A65" s="118">
        <v>42</v>
      </c>
      <c r="B65" s="118" t="s">
        <v>329</v>
      </c>
      <c r="C65" s="119" t="e">
        <f t="shared" si="0"/>
        <v>#REF!</v>
      </c>
      <c r="D65" s="119" t="e">
        <f t="shared" si="3"/>
        <v>#REF!</v>
      </c>
      <c r="E65" s="119">
        <f t="shared" si="3"/>
        <v>0</v>
      </c>
      <c r="F65" s="119"/>
      <c r="G65" s="120" t="e">
        <f t="shared" si="4"/>
        <v>#REF!</v>
      </c>
      <c r="I65" s="122"/>
      <c r="J65" s="49"/>
      <c r="K65" s="123"/>
      <c r="L65" s="49"/>
      <c r="N65" s="26"/>
    </row>
    <row r="66" spans="1:14" s="48" customFormat="1" x14ac:dyDescent="0.2">
      <c r="A66" s="118">
        <v>43</v>
      </c>
      <c r="B66" s="118" t="s">
        <v>330</v>
      </c>
      <c r="C66" s="119" t="e">
        <f t="shared" si="0"/>
        <v>#REF!</v>
      </c>
      <c r="D66" s="119" t="e">
        <f t="shared" si="3"/>
        <v>#REF!</v>
      </c>
      <c r="E66" s="119">
        <f t="shared" si="3"/>
        <v>0</v>
      </c>
      <c r="F66" s="119"/>
      <c r="G66" s="120" t="e">
        <f t="shared" si="4"/>
        <v>#REF!</v>
      </c>
      <c r="I66" s="122"/>
      <c r="J66" s="49"/>
      <c r="K66" s="123"/>
      <c r="L66" s="49"/>
      <c r="N66" s="26"/>
    </row>
    <row r="67" spans="1:14" s="48" customFormat="1" x14ac:dyDescent="0.2">
      <c r="A67" s="118">
        <v>44</v>
      </c>
      <c r="B67" s="118" t="s">
        <v>331</v>
      </c>
      <c r="C67" s="119" t="e">
        <f t="shared" si="0"/>
        <v>#REF!</v>
      </c>
      <c r="D67" s="119" t="e">
        <f t="shared" si="3"/>
        <v>#REF!</v>
      </c>
      <c r="E67" s="119">
        <f t="shared" si="3"/>
        <v>0</v>
      </c>
      <c r="F67" s="119"/>
      <c r="G67" s="120" t="e">
        <f t="shared" si="4"/>
        <v>#REF!</v>
      </c>
      <c r="I67" s="122"/>
      <c r="J67" s="49"/>
      <c r="K67" s="123"/>
      <c r="L67" s="49"/>
      <c r="N67" s="26"/>
    </row>
    <row r="68" spans="1:14" s="48" customFormat="1" x14ac:dyDescent="0.2">
      <c r="A68" s="118">
        <v>45</v>
      </c>
      <c r="B68" s="118" t="s">
        <v>332</v>
      </c>
      <c r="C68" s="119" t="e">
        <f t="shared" si="0"/>
        <v>#REF!</v>
      </c>
      <c r="D68" s="119" t="e">
        <f t="shared" si="3"/>
        <v>#REF!</v>
      </c>
      <c r="E68" s="119">
        <f t="shared" si="3"/>
        <v>0</v>
      </c>
      <c r="F68" s="119"/>
      <c r="G68" s="120" t="e">
        <f t="shared" si="4"/>
        <v>#REF!</v>
      </c>
      <c r="I68" s="122"/>
      <c r="J68" s="49"/>
      <c r="K68" s="123"/>
      <c r="L68" s="49"/>
      <c r="N68" s="26"/>
    </row>
    <row r="69" spans="1:14" s="48" customFormat="1" x14ac:dyDescent="0.2">
      <c r="A69" s="118">
        <v>46</v>
      </c>
      <c r="B69" s="118" t="s">
        <v>333</v>
      </c>
      <c r="C69" s="119" t="e">
        <f t="shared" si="0"/>
        <v>#REF!</v>
      </c>
      <c r="D69" s="119" t="e">
        <f t="shared" si="3"/>
        <v>#REF!</v>
      </c>
      <c r="E69" s="119">
        <f t="shared" si="3"/>
        <v>0</v>
      </c>
      <c r="F69" s="119"/>
      <c r="G69" s="120" t="e">
        <f t="shared" si="4"/>
        <v>#REF!</v>
      </c>
      <c r="I69" s="122"/>
      <c r="J69" s="49"/>
      <c r="K69" s="123"/>
      <c r="L69" s="49"/>
      <c r="N69" s="26"/>
    </row>
    <row r="70" spans="1:14" s="48" customFormat="1" x14ac:dyDescent="0.2">
      <c r="A70" s="118">
        <v>47</v>
      </c>
      <c r="B70" s="118" t="s">
        <v>334</v>
      </c>
      <c r="C70" s="119" t="e">
        <f t="shared" si="0"/>
        <v>#REF!</v>
      </c>
      <c r="D70" s="119" t="e">
        <f t="shared" si="3"/>
        <v>#REF!</v>
      </c>
      <c r="E70" s="119">
        <f t="shared" si="3"/>
        <v>0</v>
      </c>
      <c r="F70" s="119"/>
      <c r="G70" s="120" t="e">
        <f t="shared" si="4"/>
        <v>#REF!</v>
      </c>
      <c r="I70" s="122"/>
      <c r="J70" s="49"/>
      <c r="K70" s="123"/>
      <c r="L70" s="49"/>
      <c r="N70" s="26"/>
    </row>
    <row r="71" spans="1:14" s="48" customFormat="1" x14ac:dyDescent="0.2">
      <c r="A71" s="118">
        <v>48</v>
      </c>
      <c r="B71" s="118" t="s">
        <v>335</v>
      </c>
      <c r="C71" s="119" t="e">
        <f t="shared" si="0"/>
        <v>#REF!</v>
      </c>
      <c r="D71" s="119" t="e">
        <f t="shared" si="3"/>
        <v>#REF!</v>
      </c>
      <c r="E71" s="119">
        <f t="shared" si="3"/>
        <v>0</v>
      </c>
      <c r="F71" s="119"/>
      <c r="G71" s="120" t="e">
        <f t="shared" si="4"/>
        <v>#REF!</v>
      </c>
      <c r="I71" s="122"/>
      <c r="J71" s="49"/>
      <c r="K71" s="123"/>
      <c r="L71" s="49"/>
      <c r="N71" s="26"/>
    </row>
    <row r="72" spans="1:14" s="48" customFormat="1" x14ac:dyDescent="0.2">
      <c r="A72" s="118">
        <v>49</v>
      </c>
      <c r="B72" s="118" t="s">
        <v>336</v>
      </c>
      <c r="C72" s="119" t="e">
        <f t="shared" si="0"/>
        <v>#REF!</v>
      </c>
      <c r="D72" s="119" t="e">
        <f t="shared" si="3"/>
        <v>#REF!</v>
      </c>
      <c r="E72" s="119">
        <f t="shared" si="3"/>
        <v>0</v>
      </c>
      <c r="F72" s="119"/>
      <c r="G72" s="120" t="e">
        <f t="shared" si="4"/>
        <v>#REF!</v>
      </c>
      <c r="I72" s="122"/>
      <c r="J72" s="49"/>
      <c r="K72" s="123"/>
      <c r="L72" s="49"/>
      <c r="N72" s="26"/>
    </row>
    <row r="73" spans="1:14" s="48" customFormat="1" x14ac:dyDescent="0.2">
      <c r="A73" s="118">
        <v>50</v>
      </c>
      <c r="B73" s="118" t="s">
        <v>337</v>
      </c>
      <c r="C73" s="119" t="e">
        <f t="shared" si="0"/>
        <v>#REF!</v>
      </c>
      <c r="D73" s="119" t="e">
        <f t="shared" si="3"/>
        <v>#REF!</v>
      </c>
      <c r="E73" s="119">
        <f t="shared" si="3"/>
        <v>0</v>
      </c>
      <c r="F73" s="119"/>
      <c r="G73" s="120" t="e">
        <f t="shared" si="4"/>
        <v>#REF!</v>
      </c>
      <c r="I73" s="122"/>
      <c r="J73" s="49"/>
      <c r="K73" s="123"/>
      <c r="L73" s="49"/>
      <c r="N73" s="26"/>
    </row>
    <row r="74" spans="1:14" s="48" customFormat="1" x14ac:dyDescent="0.2">
      <c r="A74" s="118">
        <v>51</v>
      </c>
      <c r="B74" s="118" t="s">
        <v>338</v>
      </c>
      <c r="C74" s="119" t="e">
        <f t="shared" si="0"/>
        <v>#REF!</v>
      </c>
      <c r="D74" s="119" t="e">
        <f t="shared" si="3"/>
        <v>#REF!</v>
      </c>
      <c r="E74" s="119">
        <f t="shared" si="3"/>
        <v>0</v>
      </c>
      <c r="F74" s="119"/>
      <c r="G74" s="120" t="e">
        <f t="shared" si="4"/>
        <v>#REF!</v>
      </c>
      <c r="I74" s="122"/>
      <c r="J74" s="49"/>
      <c r="K74" s="123"/>
      <c r="L74" s="49"/>
      <c r="N74" s="26"/>
    </row>
    <row r="75" spans="1:14" s="48" customFormat="1" x14ac:dyDescent="0.2">
      <c r="A75" s="118">
        <v>52</v>
      </c>
      <c r="B75" s="118" t="s">
        <v>339</v>
      </c>
      <c r="C75" s="119" t="e">
        <f t="shared" si="0"/>
        <v>#REF!</v>
      </c>
      <c r="D75" s="119" t="e">
        <f t="shared" si="3"/>
        <v>#REF!</v>
      </c>
      <c r="E75" s="119">
        <f t="shared" si="3"/>
        <v>0</v>
      </c>
      <c r="F75" s="119"/>
      <c r="G75" s="120" t="e">
        <f t="shared" si="4"/>
        <v>#REF!</v>
      </c>
      <c r="I75" s="122"/>
      <c r="J75" s="49"/>
      <c r="K75" s="123"/>
      <c r="L75" s="49"/>
      <c r="N75" s="26"/>
    </row>
    <row r="76" spans="1:14" s="48" customFormat="1" x14ac:dyDescent="0.2">
      <c r="A76" s="118">
        <v>53</v>
      </c>
      <c r="B76" s="118" t="s">
        <v>340</v>
      </c>
      <c r="C76" s="119" t="e">
        <f t="shared" si="0"/>
        <v>#REF!</v>
      </c>
      <c r="D76" s="119" t="e">
        <f t="shared" si="3"/>
        <v>#REF!</v>
      </c>
      <c r="E76" s="119">
        <f t="shared" si="3"/>
        <v>0</v>
      </c>
      <c r="F76" s="119"/>
      <c r="G76" s="120" t="e">
        <f t="shared" si="4"/>
        <v>#REF!</v>
      </c>
      <c r="I76" s="122"/>
      <c r="J76" s="49"/>
      <c r="K76" s="123"/>
      <c r="L76" s="49"/>
      <c r="N76" s="26"/>
    </row>
    <row r="77" spans="1:14" s="48" customFormat="1" x14ac:dyDescent="0.2">
      <c r="A77" s="118">
        <v>54</v>
      </c>
      <c r="B77" s="118" t="s">
        <v>341</v>
      </c>
      <c r="C77" s="119" t="e">
        <f t="shared" si="0"/>
        <v>#REF!</v>
      </c>
      <c r="D77" s="119" t="e">
        <f t="shared" si="3"/>
        <v>#REF!</v>
      </c>
      <c r="E77" s="119">
        <f t="shared" si="3"/>
        <v>0</v>
      </c>
      <c r="F77" s="119"/>
      <c r="G77" s="120" t="e">
        <f t="shared" si="4"/>
        <v>#REF!</v>
      </c>
      <c r="I77" s="122"/>
      <c r="J77" s="49"/>
      <c r="K77" s="123"/>
      <c r="L77" s="49"/>
      <c r="N77" s="26"/>
    </row>
    <row r="78" spans="1:14" s="48" customFormat="1" x14ac:dyDescent="0.2">
      <c r="A78" s="118">
        <v>55</v>
      </c>
      <c r="B78" s="118" t="s">
        <v>342</v>
      </c>
      <c r="C78" s="119" t="e">
        <f t="shared" si="0"/>
        <v>#REF!</v>
      </c>
      <c r="D78" s="119" t="e">
        <f t="shared" si="3"/>
        <v>#REF!</v>
      </c>
      <c r="E78" s="119">
        <f t="shared" si="3"/>
        <v>0</v>
      </c>
      <c r="F78" s="119"/>
      <c r="G78" s="120" t="e">
        <f t="shared" si="4"/>
        <v>#REF!</v>
      </c>
      <c r="I78" s="122"/>
      <c r="J78" s="49"/>
      <c r="K78" s="123"/>
      <c r="L78" s="49"/>
      <c r="N78" s="26"/>
    </row>
    <row r="79" spans="1:14" s="48" customFormat="1" x14ac:dyDescent="0.2">
      <c r="A79" s="118">
        <v>56</v>
      </c>
      <c r="B79" s="118" t="s">
        <v>343</v>
      </c>
      <c r="C79" s="119" t="e">
        <f t="shared" si="0"/>
        <v>#REF!</v>
      </c>
      <c r="D79" s="119" t="e">
        <f t="shared" si="3"/>
        <v>#REF!</v>
      </c>
      <c r="E79" s="119">
        <f t="shared" si="3"/>
        <v>0</v>
      </c>
      <c r="F79" s="119"/>
      <c r="G79" s="120" t="e">
        <f t="shared" si="4"/>
        <v>#REF!</v>
      </c>
      <c r="I79" s="122"/>
      <c r="J79" s="49"/>
      <c r="K79" s="123"/>
      <c r="L79" s="49"/>
      <c r="N79" s="26"/>
    </row>
    <row r="80" spans="1:14" s="48" customFormat="1" x14ac:dyDescent="0.2">
      <c r="A80" s="118">
        <v>57</v>
      </c>
      <c r="B80" s="118" t="s">
        <v>344</v>
      </c>
      <c r="C80" s="119" t="e">
        <f t="shared" si="0"/>
        <v>#REF!</v>
      </c>
      <c r="D80" s="119" t="e">
        <f t="shared" si="3"/>
        <v>#REF!</v>
      </c>
      <c r="E80" s="119">
        <f t="shared" si="3"/>
        <v>0</v>
      </c>
      <c r="F80" s="119"/>
      <c r="G80" s="120" t="e">
        <f t="shared" si="4"/>
        <v>#REF!</v>
      </c>
      <c r="I80" s="122"/>
      <c r="J80" s="49"/>
      <c r="K80" s="123"/>
      <c r="L80" s="49"/>
      <c r="N80" s="26"/>
    </row>
    <row r="81" spans="1:14" s="48" customFormat="1" x14ac:dyDescent="0.2">
      <c r="A81" s="118">
        <v>58</v>
      </c>
      <c r="B81" s="118" t="s">
        <v>345</v>
      </c>
      <c r="C81" s="119" t="e">
        <f t="shared" si="0"/>
        <v>#REF!</v>
      </c>
      <c r="D81" s="119" t="e">
        <f t="shared" si="3"/>
        <v>#REF!</v>
      </c>
      <c r="E81" s="119">
        <f t="shared" si="3"/>
        <v>0</v>
      </c>
      <c r="F81" s="119"/>
      <c r="G81" s="120" t="e">
        <f t="shared" si="4"/>
        <v>#REF!</v>
      </c>
      <c r="I81" s="122"/>
      <c r="J81" s="49"/>
      <c r="K81" s="123"/>
      <c r="L81" s="49"/>
      <c r="N81" s="26"/>
    </row>
    <row r="82" spans="1:14" s="48" customFormat="1" x14ac:dyDescent="0.2">
      <c r="A82" s="118">
        <v>59</v>
      </c>
      <c r="B82" s="118" t="s">
        <v>346</v>
      </c>
      <c r="C82" s="119" t="e">
        <f t="shared" si="0"/>
        <v>#REF!</v>
      </c>
      <c r="D82" s="119" t="e">
        <f t="shared" si="3"/>
        <v>#REF!</v>
      </c>
      <c r="E82" s="119">
        <f t="shared" si="3"/>
        <v>0</v>
      </c>
      <c r="F82" s="119"/>
      <c r="G82" s="120" t="e">
        <f t="shared" si="4"/>
        <v>#REF!</v>
      </c>
      <c r="I82" s="122"/>
      <c r="J82" s="49"/>
      <c r="K82" s="123"/>
      <c r="L82" s="49"/>
      <c r="N82" s="26"/>
    </row>
    <row r="83" spans="1:14" s="48" customFormat="1" x14ac:dyDescent="0.2">
      <c r="A83" s="118">
        <v>60</v>
      </c>
      <c r="B83" s="118" t="s">
        <v>347</v>
      </c>
      <c r="C83" s="119" t="e">
        <f t="shared" si="0"/>
        <v>#REF!</v>
      </c>
      <c r="D83" s="119" t="e">
        <f t="shared" si="3"/>
        <v>#REF!</v>
      </c>
      <c r="E83" s="119">
        <f t="shared" si="3"/>
        <v>0</v>
      </c>
      <c r="F83" s="119"/>
      <c r="G83" s="120" t="e">
        <f t="shared" si="4"/>
        <v>#REF!</v>
      </c>
      <c r="I83" s="122"/>
      <c r="J83" s="49"/>
      <c r="K83" s="123"/>
      <c r="L83" s="49"/>
      <c r="N83" s="26"/>
    </row>
    <row r="84" spans="1:14" s="48" customFormat="1" x14ac:dyDescent="0.2">
      <c r="A84" s="118">
        <v>61</v>
      </c>
      <c r="B84" s="118" t="s">
        <v>348</v>
      </c>
      <c r="C84" s="119" t="e">
        <f t="shared" si="0"/>
        <v>#REF!</v>
      </c>
      <c r="D84" s="119" t="e">
        <f t="shared" si="3"/>
        <v>#REF!</v>
      </c>
      <c r="E84" s="119">
        <f t="shared" si="3"/>
        <v>0</v>
      </c>
      <c r="F84" s="119"/>
      <c r="G84" s="120" t="e">
        <f t="shared" si="4"/>
        <v>#REF!</v>
      </c>
      <c r="I84" s="122"/>
      <c r="J84" s="49"/>
      <c r="K84" s="123"/>
      <c r="L84" s="49"/>
      <c r="N84" s="26"/>
    </row>
    <row r="85" spans="1:14" s="48" customFormat="1" x14ac:dyDescent="0.2">
      <c r="A85" s="118">
        <v>62</v>
      </c>
      <c r="B85" s="118" t="s">
        <v>349</v>
      </c>
      <c r="C85" s="119" t="e">
        <f t="shared" si="0"/>
        <v>#REF!</v>
      </c>
      <c r="D85" s="119" t="e">
        <f t="shared" si="3"/>
        <v>#REF!</v>
      </c>
      <c r="E85" s="119">
        <f t="shared" si="3"/>
        <v>0</v>
      </c>
      <c r="F85" s="119"/>
      <c r="G85" s="120" t="e">
        <f t="shared" si="4"/>
        <v>#REF!</v>
      </c>
      <c r="I85" s="122"/>
      <c r="J85" s="49"/>
      <c r="K85" s="123"/>
      <c r="L85" s="49"/>
      <c r="N85" s="26"/>
    </row>
    <row r="86" spans="1:14" s="48" customFormat="1" x14ac:dyDescent="0.2">
      <c r="A86" s="118">
        <v>63</v>
      </c>
      <c r="B86" s="118" t="s">
        <v>350</v>
      </c>
      <c r="C86" s="119" t="e">
        <f t="shared" ref="C86:C145" si="5">SUM(D86:E86)</f>
        <v>#REF!</v>
      </c>
      <c r="D86" s="119" t="e">
        <f t="shared" ref="D86:D145" si="6">D85</f>
        <v>#REF!</v>
      </c>
      <c r="E86" s="119">
        <f t="shared" ref="E86:E145" si="7">E85</f>
        <v>0</v>
      </c>
      <c r="F86" s="119"/>
      <c r="G86" s="120" t="e">
        <f t="shared" ref="G86:G145" si="8">G85-C86-F86</f>
        <v>#REF!</v>
      </c>
      <c r="I86" s="122"/>
      <c r="J86" s="49"/>
      <c r="K86" s="123"/>
      <c r="L86" s="49"/>
      <c r="N86" s="26"/>
    </row>
    <row r="87" spans="1:14" s="48" customFormat="1" x14ac:dyDescent="0.2">
      <c r="A87" s="118">
        <v>64</v>
      </c>
      <c r="B87" s="118" t="s">
        <v>351</v>
      </c>
      <c r="C87" s="119" t="e">
        <f t="shared" si="5"/>
        <v>#REF!</v>
      </c>
      <c r="D87" s="119" t="e">
        <f t="shared" si="6"/>
        <v>#REF!</v>
      </c>
      <c r="E87" s="119">
        <f t="shared" si="7"/>
        <v>0</v>
      </c>
      <c r="F87" s="119"/>
      <c r="G87" s="120" t="e">
        <f t="shared" si="8"/>
        <v>#REF!</v>
      </c>
      <c r="I87" s="122"/>
      <c r="J87" s="49"/>
      <c r="K87" s="123"/>
      <c r="L87" s="49"/>
      <c r="N87" s="26"/>
    </row>
    <row r="88" spans="1:14" s="48" customFormat="1" x14ac:dyDescent="0.2">
      <c r="A88" s="118">
        <v>65</v>
      </c>
      <c r="B88" s="118" t="s">
        <v>352</v>
      </c>
      <c r="C88" s="119" t="e">
        <f t="shared" si="5"/>
        <v>#REF!</v>
      </c>
      <c r="D88" s="119" t="e">
        <f t="shared" si="6"/>
        <v>#REF!</v>
      </c>
      <c r="E88" s="119">
        <f t="shared" si="7"/>
        <v>0</v>
      </c>
      <c r="F88" s="119"/>
      <c r="G88" s="120" t="e">
        <f t="shared" si="8"/>
        <v>#REF!</v>
      </c>
      <c r="I88" s="122"/>
      <c r="J88" s="49"/>
      <c r="K88" s="123"/>
      <c r="L88" s="49"/>
      <c r="N88" s="26"/>
    </row>
    <row r="89" spans="1:14" s="48" customFormat="1" x14ac:dyDescent="0.2">
      <c r="A89" s="118">
        <v>66</v>
      </c>
      <c r="B89" s="118" t="s">
        <v>353</v>
      </c>
      <c r="C89" s="119" t="e">
        <f t="shared" si="5"/>
        <v>#REF!</v>
      </c>
      <c r="D89" s="119" t="e">
        <f t="shared" si="6"/>
        <v>#REF!</v>
      </c>
      <c r="E89" s="119">
        <f t="shared" si="7"/>
        <v>0</v>
      </c>
      <c r="F89" s="119"/>
      <c r="G89" s="120" t="e">
        <f t="shared" si="8"/>
        <v>#REF!</v>
      </c>
      <c r="I89" s="122"/>
      <c r="J89" s="49"/>
      <c r="K89" s="123"/>
      <c r="L89" s="49"/>
      <c r="N89" s="26"/>
    </row>
    <row r="90" spans="1:14" s="48" customFormat="1" x14ac:dyDescent="0.2">
      <c r="A90" s="118">
        <v>67</v>
      </c>
      <c r="B90" s="118" t="s">
        <v>354</v>
      </c>
      <c r="C90" s="119" t="e">
        <f t="shared" si="5"/>
        <v>#REF!</v>
      </c>
      <c r="D90" s="119" t="e">
        <f t="shared" si="6"/>
        <v>#REF!</v>
      </c>
      <c r="E90" s="119">
        <f t="shared" si="7"/>
        <v>0</v>
      </c>
      <c r="F90" s="119"/>
      <c r="G90" s="120" t="e">
        <f t="shared" si="8"/>
        <v>#REF!</v>
      </c>
      <c r="I90" s="122"/>
      <c r="J90" s="49"/>
      <c r="K90" s="123"/>
      <c r="L90" s="49"/>
      <c r="N90" s="26"/>
    </row>
    <row r="91" spans="1:14" s="48" customFormat="1" x14ac:dyDescent="0.2">
      <c r="A91" s="118">
        <v>68</v>
      </c>
      <c r="B91" s="118" t="s">
        <v>355</v>
      </c>
      <c r="C91" s="119" t="e">
        <f t="shared" si="5"/>
        <v>#REF!</v>
      </c>
      <c r="D91" s="119" t="e">
        <f t="shared" si="6"/>
        <v>#REF!</v>
      </c>
      <c r="E91" s="119">
        <f t="shared" si="7"/>
        <v>0</v>
      </c>
      <c r="F91" s="119"/>
      <c r="G91" s="120" t="e">
        <f t="shared" si="8"/>
        <v>#REF!</v>
      </c>
      <c r="I91" s="122"/>
      <c r="J91" s="49"/>
      <c r="K91" s="123"/>
      <c r="L91" s="49"/>
      <c r="N91" s="26"/>
    </row>
    <row r="92" spans="1:14" s="48" customFormat="1" x14ac:dyDescent="0.2">
      <c r="A92" s="118">
        <v>69</v>
      </c>
      <c r="B92" s="118" t="s">
        <v>356</v>
      </c>
      <c r="C92" s="119" t="e">
        <f t="shared" si="5"/>
        <v>#REF!</v>
      </c>
      <c r="D92" s="119" t="e">
        <f t="shared" si="6"/>
        <v>#REF!</v>
      </c>
      <c r="E92" s="119">
        <f t="shared" si="7"/>
        <v>0</v>
      </c>
      <c r="F92" s="119"/>
      <c r="G92" s="120" t="e">
        <f t="shared" si="8"/>
        <v>#REF!</v>
      </c>
      <c r="I92" s="122"/>
      <c r="J92" s="49"/>
      <c r="K92" s="123"/>
      <c r="L92" s="49"/>
      <c r="N92" s="26"/>
    </row>
    <row r="93" spans="1:14" s="48" customFormat="1" x14ac:dyDescent="0.2">
      <c r="A93" s="118">
        <v>70</v>
      </c>
      <c r="B93" s="118" t="s">
        <v>357</v>
      </c>
      <c r="C93" s="119" t="e">
        <f t="shared" si="5"/>
        <v>#REF!</v>
      </c>
      <c r="D93" s="119" t="e">
        <f t="shared" si="6"/>
        <v>#REF!</v>
      </c>
      <c r="E93" s="119">
        <f t="shared" si="7"/>
        <v>0</v>
      </c>
      <c r="F93" s="119"/>
      <c r="G93" s="120" t="e">
        <f t="shared" si="8"/>
        <v>#REF!</v>
      </c>
      <c r="I93" s="122"/>
      <c r="J93" s="49"/>
      <c r="K93" s="123"/>
      <c r="L93" s="49"/>
      <c r="N93" s="26"/>
    </row>
    <row r="94" spans="1:14" s="48" customFormat="1" x14ac:dyDescent="0.2">
      <c r="A94" s="118">
        <v>71</v>
      </c>
      <c r="B94" s="118" t="s">
        <v>358</v>
      </c>
      <c r="C94" s="119" t="e">
        <f t="shared" si="5"/>
        <v>#REF!</v>
      </c>
      <c r="D94" s="119" t="e">
        <f t="shared" si="6"/>
        <v>#REF!</v>
      </c>
      <c r="E94" s="119">
        <f t="shared" si="7"/>
        <v>0</v>
      </c>
      <c r="F94" s="119"/>
      <c r="G94" s="120" t="e">
        <f t="shared" si="8"/>
        <v>#REF!</v>
      </c>
      <c r="I94" s="122"/>
      <c r="J94" s="49"/>
      <c r="K94" s="123"/>
      <c r="L94" s="49"/>
      <c r="N94" s="26"/>
    </row>
    <row r="95" spans="1:14" s="48" customFormat="1" x14ac:dyDescent="0.2">
      <c r="A95" s="118">
        <v>72</v>
      </c>
      <c r="B95" s="118" t="s">
        <v>359</v>
      </c>
      <c r="C95" s="119" t="e">
        <f t="shared" si="5"/>
        <v>#REF!</v>
      </c>
      <c r="D95" s="119" t="e">
        <f t="shared" si="6"/>
        <v>#REF!</v>
      </c>
      <c r="E95" s="119">
        <f t="shared" si="7"/>
        <v>0</v>
      </c>
      <c r="F95" s="119"/>
      <c r="G95" s="120" t="e">
        <f t="shared" si="8"/>
        <v>#REF!</v>
      </c>
      <c r="I95" s="122"/>
      <c r="J95" s="49"/>
      <c r="K95" s="123"/>
      <c r="L95" s="49"/>
      <c r="N95" s="26"/>
    </row>
    <row r="96" spans="1:14" s="48" customFormat="1" x14ac:dyDescent="0.2">
      <c r="A96" s="118">
        <v>73</v>
      </c>
      <c r="B96" s="118" t="s">
        <v>360</v>
      </c>
      <c r="C96" s="119" t="e">
        <f t="shared" si="5"/>
        <v>#REF!</v>
      </c>
      <c r="D96" s="119" t="e">
        <f t="shared" si="6"/>
        <v>#REF!</v>
      </c>
      <c r="E96" s="119">
        <f t="shared" si="7"/>
        <v>0</v>
      </c>
      <c r="F96" s="119"/>
      <c r="G96" s="120" t="e">
        <f t="shared" si="8"/>
        <v>#REF!</v>
      </c>
      <c r="I96" s="122"/>
      <c r="J96" s="49"/>
      <c r="K96" s="123"/>
      <c r="L96" s="49"/>
      <c r="N96" s="26"/>
    </row>
    <row r="97" spans="1:14" s="48" customFormat="1" x14ac:dyDescent="0.2">
      <c r="A97" s="118">
        <v>74</v>
      </c>
      <c r="B97" s="118" t="s">
        <v>361</v>
      </c>
      <c r="C97" s="119" t="e">
        <f t="shared" si="5"/>
        <v>#REF!</v>
      </c>
      <c r="D97" s="119" t="e">
        <f t="shared" si="6"/>
        <v>#REF!</v>
      </c>
      <c r="E97" s="119">
        <f t="shared" si="7"/>
        <v>0</v>
      </c>
      <c r="F97" s="119"/>
      <c r="G97" s="120" t="e">
        <f t="shared" si="8"/>
        <v>#REF!</v>
      </c>
      <c r="I97" s="122"/>
      <c r="J97" s="49"/>
      <c r="K97" s="123"/>
      <c r="L97" s="49"/>
      <c r="N97" s="26"/>
    </row>
    <row r="98" spans="1:14" s="48" customFormat="1" x14ac:dyDescent="0.2">
      <c r="A98" s="118">
        <v>75</v>
      </c>
      <c r="B98" s="118" t="s">
        <v>362</v>
      </c>
      <c r="C98" s="119" t="e">
        <f t="shared" si="5"/>
        <v>#REF!</v>
      </c>
      <c r="D98" s="119" t="e">
        <f t="shared" si="6"/>
        <v>#REF!</v>
      </c>
      <c r="E98" s="119">
        <f t="shared" si="7"/>
        <v>0</v>
      </c>
      <c r="F98" s="119"/>
      <c r="G98" s="120" t="e">
        <f t="shared" si="8"/>
        <v>#REF!</v>
      </c>
      <c r="I98" s="122"/>
      <c r="J98" s="49"/>
      <c r="K98" s="123"/>
      <c r="L98" s="49"/>
      <c r="N98" s="26"/>
    </row>
    <row r="99" spans="1:14" s="48" customFormat="1" x14ac:dyDescent="0.2">
      <c r="A99" s="118">
        <v>76</v>
      </c>
      <c r="B99" s="118" t="s">
        <v>363</v>
      </c>
      <c r="C99" s="119" t="e">
        <f t="shared" si="5"/>
        <v>#REF!</v>
      </c>
      <c r="D99" s="119" t="e">
        <f t="shared" si="6"/>
        <v>#REF!</v>
      </c>
      <c r="E99" s="119">
        <f t="shared" si="7"/>
        <v>0</v>
      </c>
      <c r="F99" s="119"/>
      <c r="G99" s="120" t="e">
        <f t="shared" si="8"/>
        <v>#REF!</v>
      </c>
      <c r="I99" s="122"/>
      <c r="J99" s="49"/>
      <c r="K99" s="123"/>
      <c r="L99" s="49"/>
      <c r="N99" s="26"/>
    </row>
    <row r="100" spans="1:14" s="48" customFormat="1" x14ac:dyDescent="0.2">
      <c r="A100" s="118">
        <v>77</v>
      </c>
      <c r="B100" s="118" t="s">
        <v>364</v>
      </c>
      <c r="C100" s="119" t="e">
        <f t="shared" si="5"/>
        <v>#REF!</v>
      </c>
      <c r="D100" s="119" t="e">
        <f t="shared" si="6"/>
        <v>#REF!</v>
      </c>
      <c r="E100" s="119">
        <f t="shared" si="7"/>
        <v>0</v>
      </c>
      <c r="F100" s="119"/>
      <c r="G100" s="120" t="e">
        <f t="shared" si="8"/>
        <v>#REF!</v>
      </c>
      <c r="I100" s="122"/>
      <c r="J100" s="49"/>
      <c r="K100" s="123"/>
      <c r="L100" s="49"/>
      <c r="N100" s="26"/>
    </row>
    <row r="101" spans="1:14" s="48" customFormat="1" x14ac:dyDescent="0.2">
      <c r="A101" s="118">
        <v>78</v>
      </c>
      <c r="B101" s="118" t="s">
        <v>365</v>
      </c>
      <c r="C101" s="119" t="e">
        <f t="shared" si="5"/>
        <v>#REF!</v>
      </c>
      <c r="D101" s="119" t="e">
        <f t="shared" si="6"/>
        <v>#REF!</v>
      </c>
      <c r="E101" s="119">
        <f t="shared" si="7"/>
        <v>0</v>
      </c>
      <c r="F101" s="119"/>
      <c r="G101" s="120" t="e">
        <f t="shared" si="8"/>
        <v>#REF!</v>
      </c>
      <c r="I101" s="122"/>
      <c r="J101" s="49"/>
      <c r="K101" s="123"/>
      <c r="L101" s="49"/>
      <c r="N101" s="26"/>
    </row>
    <row r="102" spans="1:14" s="48" customFormat="1" x14ac:dyDescent="0.2">
      <c r="A102" s="118">
        <v>79</v>
      </c>
      <c r="B102" s="118" t="s">
        <v>366</v>
      </c>
      <c r="C102" s="119" t="e">
        <f t="shared" si="5"/>
        <v>#REF!</v>
      </c>
      <c r="D102" s="119" t="e">
        <f t="shared" si="6"/>
        <v>#REF!</v>
      </c>
      <c r="E102" s="119">
        <f t="shared" si="7"/>
        <v>0</v>
      </c>
      <c r="F102" s="119"/>
      <c r="G102" s="120" t="e">
        <f t="shared" si="8"/>
        <v>#REF!</v>
      </c>
      <c r="I102" s="122"/>
      <c r="J102" s="49"/>
      <c r="K102" s="123"/>
      <c r="L102" s="49"/>
      <c r="N102" s="26"/>
    </row>
    <row r="103" spans="1:14" s="48" customFormat="1" x14ac:dyDescent="0.2">
      <c r="A103" s="118">
        <v>80</v>
      </c>
      <c r="B103" s="118" t="s">
        <v>367</v>
      </c>
      <c r="C103" s="119" t="e">
        <f t="shared" si="5"/>
        <v>#REF!</v>
      </c>
      <c r="D103" s="119" t="e">
        <f t="shared" si="6"/>
        <v>#REF!</v>
      </c>
      <c r="E103" s="119">
        <f t="shared" si="7"/>
        <v>0</v>
      </c>
      <c r="F103" s="119"/>
      <c r="G103" s="120" t="e">
        <f t="shared" si="8"/>
        <v>#REF!</v>
      </c>
      <c r="I103" s="122"/>
      <c r="J103" s="49"/>
      <c r="K103" s="123"/>
      <c r="L103" s="49"/>
      <c r="N103" s="26"/>
    </row>
    <row r="104" spans="1:14" s="48" customFormat="1" x14ac:dyDescent="0.2">
      <c r="A104" s="118">
        <v>81</v>
      </c>
      <c r="B104" s="118" t="s">
        <v>368</v>
      </c>
      <c r="C104" s="119" t="e">
        <f t="shared" si="5"/>
        <v>#REF!</v>
      </c>
      <c r="D104" s="119" t="e">
        <f t="shared" si="6"/>
        <v>#REF!</v>
      </c>
      <c r="E104" s="119">
        <f t="shared" si="7"/>
        <v>0</v>
      </c>
      <c r="F104" s="119"/>
      <c r="G104" s="120" t="e">
        <f t="shared" si="8"/>
        <v>#REF!</v>
      </c>
      <c r="I104" s="122"/>
      <c r="J104" s="49"/>
      <c r="K104" s="123"/>
      <c r="L104" s="49"/>
      <c r="N104" s="26"/>
    </row>
    <row r="105" spans="1:14" s="48" customFormat="1" x14ac:dyDescent="0.2">
      <c r="A105" s="118">
        <v>82</v>
      </c>
      <c r="B105" s="118" t="s">
        <v>369</v>
      </c>
      <c r="C105" s="119" t="e">
        <f t="shared" si="5"/>
        <v>#REF!</v>
      </c>
      <c r="D105" s="119" t="e">
        <f t="shared" si="6"/>
        <v>#REF!</v>
      </c>
      <c r="E105" s="119">
        <f t="shared" si="7"/>
        <v>0</v>
      </c>
      <c r="F105" s="119"/>
      <c r="G105" s="120" t="e">
        <f t="shared" si="8"/>
        <v>#REF!</v>
      </c>
      <c r="I105" s="122"/>
      <c r="J105" s="49"/>
      <c r="K105" s="123"/>
      <c r="L105" s="49"/>
      <c r="N105" s="26"/>
    </row>
    <row r="106" spans="1:14" s="48" customFormat="1" x14ac:dyDescent="0.2">
      <c r="A106" s="118">
        <v>83</v>
      </c>
      <c r="B106" s="118" t="s">
        <v>370</v>
      </c>
      <c r="C106" s="119" t="e">
        <f t="shared" si="5"/>
        <v>#REF!</v>
      </c>
      <c r="D106" s="119" t="e">
        <f t="shared" si="6"/>
        <v>#REF!</v>
      </c>
      <c r="E106" s="119">
        <f t="shared" si="7"/>
        <v>0</v>
      </c>
      <c r="F106" s="119"/>
      <c r="G106" s="120" t="e">
        <f t="shared" si="8"/>
        <v>#REF!</v>
      </c>
      <c r="I106" s="122"/>
      <c r="J106" s="49"/>
      <c r="K106" s="123"/>
      <c r="L106" s="49"/>
      <c r="N106" s="26"/>
    </row>
    <row r="107" spans="1:14" s="48" customFormat="1" x14ac:dyDescent="0.2">
      <c r="A107" s="118">
        <v>84</v>
      </c>
      <c r="B107" s="118" t="s">
        <v>371</v>
      </c>
      <c r="C107" s="119" t="e">
        <f t="shared" si="5"/>
        <v>#REF!</v>
      </c>
      <c r="D107" s="119" t="e">
        <f t="shared" si="6"/>
        <v>#REF!</v>
      </c>
      <c r="E107" s="119">
        <f t="shared" si="7"/>
        <v>0</v>
      </c>
      <c r="F107" s="119"/>
      <c r="G107" s="120" t="e">
        <f t="shared" si="8"/>
        <v>#REF!</v>
      </c>
      <c r="I107" s="122"/>
      <c r="J107" s="49"/>
      <c r="K107" s="123"/>
      <c r="L107" s="49"/>
      <c r="N107" s="26"/>
    </row>
    <row r="108" spans="1:14" s="48" customFormat="1" x14ac:dyDescent="0.2">
      <c r="A108" s="118">
        <v>85</v>
      </c>
      <c r="B108" s="118" t="s">
        <v>372</v>
      </c>
      <c r="C108" s="119" t="e">
        <f t="shared" si="5"/>
        <v>#REF!</v>
      </c>
      <c r="D108" s="119" t="e">
        <f t="shared" si="6"/>
        <v>#REF!</v>
      </c>
      <c r="E108" s="119">
        <f t="shared" si="7"/>
        <v>0</v>
      </c>
      <c r="F108" s="119"/>
      <c r="G108" s="120" t="e">
        <f t="shared" si="8"/>
        <v>#REF!</v>
      </c>
      <c r="I108" s="122"/>
      <c r="J108" s="49"/>
      <c r="K108" s="123"/>
      <c r="L108" s="49"/>
      <c r="N108" s="26"/>
    </row>
    <row r="109" spans="1:14" s="48" customFormat="1" x14ac:dyDescent="0.2">
      <c r="A109" s="118">
        <v>86</v>
      </c>
      <c r="B109" s="118" t="s">
        <v>373</v>
      </c>
      <c r="C109" s="119" t="e">
        <f t="shared" si="5"/>
        <v>#REF!</v>
      </c>
      <c r="D109" s="119" t="e">
        <f t="shared" si="6"/>
        <v>#REF!</v>
      </c>
      <c r="E109" s="119">
        <f t="shared" si="7"/>
        <v>0</v>
      </c>
      <c r="F109" s="119"/>
      <c r="G109" s="120" t="e">
        <f t="shared" si="8"/>
        <v>#REF!</v>
      </c>
      <c r="I109" s="122"/>
      <c r="J109" s="49"/>
      <c r="K109" s="123"/>
      <c r="L109" s="49"/>
      <c r="N109" s="26"/>
    </row>
    <row r="110" spans="1:14" s="48" customFormat="1" x14ac:dyDescent="0.2">
      <c r="A110" s="118">
        <v>87</v>
      </c>
      <c r="B110" s="118" t="s">
        <v>374</v>
      </c>
      <c r="C110" s="119" t="e">
        <f t="shared" si="5"/>
        <v>#REF!</v>
      </c>
      <c r="D110" s="119" t="e">
        <f t="shared" si="6"/>
        <v>#REF!</v>
      </c>
      <c r="E110" s="119">
        <f t="shared" si="7"/>
        <v>0</v>
      </c>
      <c r="F110" s="119"/>
      <c r="G110" s="120" t="e">
        <f t="shared" si="8"/>
        <v>#REF!</v>
      </c>
      <c r="I110" s="122"/>
      <c r="J110" s="49"/>
      <c r="K110" s="123"/>
      <c r="L110" s="49"/>
      <c r="N110" s="26"/>
    </row>
    <row r="111" spans="1:14" s="48" customFormat="1" x14ac:dyDescent="0.2">
      <c r="A111" s="118">
        <v>88</v>
      </c>
      <c r="B111" s="118" t="s">
        <v>375</v>
      </c>
      <c r="C111" s="119" t="e">
        <f t="shared" si="5"/>
        <v>#REF!</v>
      </c>
      <c r="D111" s="119" t="e">
        <f t="shared" si="6"/>
        <v>#REF!</v>
      </c>
      <c r="E111" s="119">
        <f t="shared" si="7"/>
        <v>0</v>
      </c>
      <c r="F111" s="119"/>
      <c r="G111" s="120" t="e">
        <f t="shared" si="8"/>
        <v>#REF!</v>
      </c>
      <c r="I111" s="122"/>
      <c r="J111" s="49"/>
      <c r="K111" s="123"/>
      <c r="L111" s="49"/>
      <c r="N111" s="26"/>
    </row>
    <row r="112" spans="1:14" s="48" customFormat="1" x14ac:dyDescent="0.2">
      <c r="A112" s="118">
        <v>89</v>
      </c>
      <c r="B112" s="118" t="s">
        <v>376</v>
      </c>
      <c r="C112" s="119" t="e">
        <f t="shared" si="5"/>
        <v>#REF!</v>
      </c>
      <c r="D112" s="119" t="e">
        <f t="shared" si="6"/>
        <v>#REF!</v>
      </c>
      <c r="E112" s="119">
        <f t="shared" si="7"/>
        <v>0</v>
      </c>
      <c r="F112" s="119"/>
      <c r="G112" s="120" t="e">
        <f t="shared" si="8"/>
        <v>#REF!</v>
      </c>
      <c r="I112" s="122"/>
      <c r="J112" s="49"/>
      <c r="K112" s="123"/>
      <c r="L112" s="49"/>
      <c r="N112" s="26"/>
    </row>
    <row r="113" spans="1:14" s="48" customFormat="1" x14ac:dyDescent="0.2">
      <c r="A113" s="118">
        <v>90</v>
      </c>
      <c r="B113" s="118" t="s">
        <v>377</v>
      </c>
      <c r="C113" s="119" t="e">
        <f t="shared" si="5"/>
        <v>#REF!</v>
      </c>
      <c r="D113" s="119" t="e">
        <f t="shared" si="6"/>
        <v>#REF!</v>
      </c>
      <c r="E113" s="119">
        <f t="shared" si="7"/>
        <v>0</v>
      </c>
      <c r="F113" s="119"/>
      <c r="G113" s="120" t="e">
        <f t="shared" si="8"/>
        <v>#REF!</v>
      </c>
      <c r="I113" s="122"/>
      <c r="J113" s="49"/>
      <c r="K113" s="123"/>
      <c r="L113" s="49"/>
      <c r="N113" s="26"/>
    </row>
    <row r="114" spans="1:14" s="48" customFormat="1" x14ac:dyDescent="0.2">
      <c r="A114" s="118">
        <v>91</v>
      </c>
      <c r="B114" s="118" t="s">
        <v>378</v>
      </c>
      <c r="C114" s="119" t="e">
        <f t="shared" si="5"/>
        <v>#REF!</v>
      </c>
      <c r="D114" s="119" t="e">
        <f t="shared" si="6"/>
        <v>#REF!</v>
      </c>
      <c r="E114" s="119">
        <f t="shared" si="7"/>
        <v>0</v>
      </c>
      <c r="F114" s="119"/>
      <c r="G114" s="120" t="e">
        <f t="shared" si="8"/>
        <v>#REF!</v>
      </c>
      <c r="I114" s="122"/>
      <c r="J114" s="49"/>
      <c r="K114" s="123"/>
      <c r="L114" s="49"/>
      <c r="N114" s="26"/>
    </row>
    <row r="115" spans="1:14" s="48" customFormat="1" x14ac:dyDescent="0.2">
      <c r="A115" s="118">
        <v>92</v>
      </c>
      <c r="B115" s="118" t="s">
        <v>379</v>
      </c>
      <c r="C115" s="119" t="e">
        <f t="shared" si="5"/>
        <v>#REF!</v>
      </c>
      <c r="D115" s="119" t="e">
        <f t="shared" si="6"/>
        <v>#REF!</v>
      </c>
      <c r="E115" s="119">
        <f t="shared" si="7"/>
        <v>0</v>
      </c>
      <c r="F115" s="119"/>
      <c r="G115" s="120" t="e">
        <f t="shared" si="8"/>
        <v>#REF!</v>
      </c>
      <c r="I115" s="122"/>
      <c r="J115" s="49"/>
      <c r="K115" s="123"/>
      <c r="L115" s="49"/>
      <c r="N115" s="26"/>
    </row>
    <row r="116" spans="1:14" s="48" customFormat="1" x14ac:dyDescent="0.2">
      <c r="A116" s="118">
        <v>93</v>
      </c>
      <c r="B116" s="118" t="s">
        <v>380</v>
      </c>
      <c r="C116" s="119" t="e">
        <f t="shared" si="5"/>
        <v>#REF!</v>
      </c>
      <c r="D116" s="119" t="e">
        <f t="shared" si="6"/>
        <v>#REF!</v>
      </c>
      <c r="E116" s="119">
        <f t="shared" si="7"/>
        <v>0</v>
      </c>
      <c r="F116" s="119"/>
      <c r="G116" s="120" t="e">
        <f t="shared" si="8"/>
        <v>#REF!</v>
      </c>
      <c r="I116" s="122"/>
      <c r="J116" s="49"/>
      <c r="K116" s="123"/>
      <c r="L116" s="49"/>
      <c r="N116" s="26"/>
    </row>
    <row r="117" spans="1:14" s="48" customFormat="1" x14ac:dyDescent="0.2">
      <c r="A117" s="118">
        <v>94</v>
      </c>
      <c r="B117" s="118" t="s">
        <v>381</v>
      </c>
      <c r="C117" s="119" t="e">
        <f t="shared" si="5"/>
        <v>#REF!</v>
      </c>
      <c r="D117" s="119" t="e">
        <f t="shared" si="6"/>
        <v>#REF!</v>
      </c>
      <c r="E117" s="119">
        <f t="shared" si="7"/>
        <v>0</v>
      </c>
      <c r="F117" s="119"/>
      <c r="G117" s="120" t="e">
        <f t="shared" si="8"/>
        <v>#REF!</v>
      </c>
      <c r="I117" s="122"/>
      <c r="J117" s="49"/>
      <c r="K117" s="123"/>
      <c r="L117" s="49"/>
      <c r="N117" s="26"/>
    </row>
    <row r="118" spans="1:14" s="48" customFormat="1" x14ac:dyDescent="0.2">
      <c r="A118" s="118">
        <v>95</v>
      </c>
      <c r="B118" s="118" t="s">
        <v>382</v>
      </c>
      <c r="C118" s="119" t="e">
        <f t="shared" si="5"/>
        <v>#REF!</v>
      </c>
      <c r="D118" s="119" t="e">
        <f t="shared" si="6"/>
        <v>#REF!</v>
      </c>
      <c r="E118" s="119">
        <f t="shared" si="7"/>
        <v>0</v>
      </c>
      <c r="F118" s="119"/>
      <c r="G118" s="120" t="e">
        <f t="shared" si="8"/>
        <v>#REF!</v>
      </c>
      <c r="I118" s="122"/>
      <c r="J118" s="49"/>
      <c r="K118" s="123"/>
      <c r="L118" s="49"/>
      <c r="N118" s="26"/>
    </row>
    <row r="119" spans="1:14" s="48" customFormat="1" x14ac:dyDescent="0.2">
      <c r="A119" s="118">
        <v>96</v>
      </c>
      <c r="B119" s="118" t="s">
        <v>383</v>
      </c>
      <c r="C119" s="119" t="e">
        <f t="shared" si="5"/>
        <v>#REF!</v>
      </c>
      <c r="D119" s="119" t="e">
        <f t="shared" si="6"/>
        <v>#REF!</v>
      </c>
      <c r="E119" s="119">
        <f t="shared" si="7"/>
        <v>0</v>
      </c>
      <c r="F119" s="119"/>
      <c r="G119" s="120" t="e">
        <f t="shared" si="8"/>
        <v>#REF!</v>
      </c>
      <c r="I119" s="122"/>
      <c r="J119" s="49"/>
      <c r="K119" s="123"/>
      <c r="L119" s="49"/>
      <c r="N119" s="26"/>
    </row>
    <row r="120" spans="1:14" s="48" customFormat="1" x14ac:dyDescent="0.2">
      <c r="A120" s="118">
        <v>97</v>
      </c>
      <c r="B120" s="118" t="s">
        <v>384</v>
      </c>
      <c r="C120" s="119" t="e">
        <f t="shared" si="5"/>
        <v>#REF!</v>
      </c>
      <c r="D120" s="119" t="e">
        <f t="shared" si="6"/>
        <v>#REF!</v>
      </c>
      <c r="E120" s="119">
        <f t="shared" si="7"/>
        <v>0</v>
      </c>
      <c r="F120" s="119"/>
      <c r="G120" s="120" t="e">
        <f t="shared" si="8"/>
        <v>#REF!</v>
      </c>
      <c r="I120" s="122"/>
      <c r="J120" s="49"/>
      <c r="K120" s="123"/>
      <c r="L120" s="49"/>
      <c r="N120" s="26"/>
    </row>
    <row r="121" spans="1:14" s="48" customFormat="1" x14ac:dyDescent="0.2">
      <c r="A121" s="118">
        <v>98</v>
      </c>
      <c r="B121" s="118" t="s">
        <v>385</v>
      </c>
      <c r="C121" s="119" t="e">
        <f t="shared" si="5"/>
        <v>#REF!</v>
      </c>
      <c r="D121" s="119" t="e">
        <f t="shared" si="6"/>
        <v>#REF!</v>
      </c>
      <c r="E121" s="119">
        <f t="shared" si="7"/>
        <v>0</v>
      </c>
      <c r="F121" s="119"/>
      <c r="G121" s="120" t="e">
        <f t="shared" si="8"/>
        <v>#REF!</v>
      </c>
      <c r="I121" s="122"/>
      <c r="J121" s="49"/>
      <c r="K121" s="123"/>
      <c r="L121" s="49"/>
      <c r="N121" s="26"/>
    </row>
    <row r="122" spans="1:14" s="48" customFormat="1" x14ac:dyDescent="0.2">
      <c r="A122" s="118">
        <v>99</v>
      </c>
      <c r="B122" s="118" t="s">
        <v>386</v>
      </c>
      <c r="C122" s="119" t="e">
        <f t="shared" si="5"/>
        <v>#REF!</v>
      </c>
      <c r="D122" s="119" t="e">
        <f t="shared" si="6"/>
        <v>#REF!</v>
      </c>
      <c r="E122" s="119">
        <f t="shared" si="7"/>
        <v>0</v>
      </c>
      <c r="F122" s="119"/>
      <c r="G122" s="120" t="e">
        <f t="shared" si="8"/>
        <v>#REF!</v>
      </c>
      <c r="I122" s="122"/>
      <c r="J122" s="49"/>
      <c r="K122" s="123"/>
      <c r="L122" s="49"/>
      <c r="N122" s="26"/>
    </row>
    <row r="123" spans="1:14" s="48" customFormat="1" x14ac:dyDescent="0.2">
      <c r="A123" s="118">
        <v>100</v>
      </c>
      <c r="B123" s="118" t="s">
        <v>387</v>
      </c>
      <c r="C123" s="119" t="e">
        <f t="shared" si="5"/>
        <v>#REF!</v>
      </c>
      <c r="D123" s="119" t="e">
        <f t="shared" si="6"/>
        <v>#REF!</v>
      </c>
      <c r="E123" s="119">
        <f t="shared" si="7"/>
        <v>0</v>
      </c>
      <c r="F123" s="119"/>
      <c r="G123" s="120" t="e">
        <f t="shared" si="8"/>
        <v>#REF!</v>
      </c>
      <c r="I123" s="122"/>
      <c r="J123" s="49"/>
      <c r="K123" s="123"/>
      <c r="L123" s="49"/>
      <c r="N123" s="26"/>
    </row>
    <row r="124" spans="1:14" s="48" customFormat="1" x14ac:dyDescent="0.2">
      <c r="A124" s="118">
        <v>101</v>
      </c>
      <c r="B124" s="118" t="s">
        <v>388</v>
      </c>
      <c r="C124" s="119" t="e">
        <f t="shared" si="5"/>
        <v>#REF!</v>
      </c>
      <c r="D124" s="119" t="e">
        <f t="shared" si="6"/>
        <v>#REF!</v>
      </c>
      <c r="E124" s="119">
        <f t="shared" si="7"/>
        <v>0</v>
      </c>
      <c r="F124" s="119"/>
      <c r="G124" s="120" t="e">
        <f t="shared" si="8"/>
        <v>#REF!</v>
      </c>
      <c r="I124" s="122"/>
      <c r="J124" s="49"/>
      <c r="K124" s="123"/>
      <c r="L124" s="49"/>
      <c r="N124" s="26"/>
    </row>
    <row r="125" spans="1:14" s="48" customFormat="1" x14ac:dyDescent="0.2">
      <c r="A125" s="118">
        <v>102</v>
      </c>
      <c r="B125" s="118" t="s">
        <v>389</v>
      </c>
      <c r="C125" s="119" t="e">
        <f t="shared" si="5"/>
        <v>#REF!</v>
      </c>
      <c r="D125" s="119" t="e">
        <f t="shared" si="6"/>
        <v>#REF!</v>
      </c>
      <c r="E125" s="119">
        <f t="shared" si="7"/>
        <v>0</v>
      </c>
      <c r="F125" s="119"/>
      <c r="G125" s="120" t="e">
        <f t="shared" si="8"/>
        <v>#REF!</v>
      </c>
      <c r="I125" s="122"/>
      <c r="J125" s="49"/>
      <c r="K125" s="123"/>
      <c r="L125" s="49"/>
      <c r="N125" s="26"/>
    </row>
    <row r="126" spans="1:14" s="48" customFormat="1" x14ac:dyDescent="0.2">
      <c r="A126" s="118">
        <v>103</v>
      </c>
      <c r="B126" s="118" t="s">
        <v>390</v>
      </c>
      <c r="C126" s="119" t="e">
        <f t="shared" si="5"/>
        <v>#REF!</v>
      </c>
      <c r="D126" s="119" t="e">
        <f t="shared" si="6"/>
        <v>#REF!</v>
      </c>
      <c r="E126" s="119">
        <f t="shared" si="7"/>
        <v>0</v>
      </c>
      <c r="F126" s="119"/>
      <c r="G126" s="120" t="e">
        <f t="shared" si="8"/>
        <v>#REF!</v>
      </c>
      <c r="I126" s="122"/>
      <c r="J126" s="49"/>
      <c r="K126" s="123"/>
      <c r="L126" s="49"/>
      <c r="N126" s="26"/>
    </row>
    <row r="127" spans="1:14" s="48" customFormat="1" x14ac:dyDescent="0.2">
      <c r="A127" s="118">
        <v>104</v>
      </c>
      <c r="B127" s="118" t="s">
        <v>391</v>
      </c>
      <c r="C127" s="119" t="e">
        <f t="shared" si="5"/>
        <v>#REF!</v>
      </c>
      <c r="D127" s="119" t="e">
        <f t="shared" si="6"/>
        <v>#REF!</v>
      </c>
      <c r="E127" s="119">
        <f t="shared" si="7"/>
        <v>0</v>
      </c>
      <c r="F127" s="119"/>
      <c r="G127" s="120" t="e">
        <f t="shared" si="8"/>
        <v>#REF!</v>
      </c>
      <c r="I127" s="122"/>
      <c r="J127" s="49"/>
      <c r="K127" s="123"/>
      <c r="L127" s="49"/>
      <c r="N127" s="26"/>
    </row>
    <row r="128" spans="1:14" s="48" customFormat="1" x14ac:dyDescent="0.2">
      <c r="A128" s="118">
        <v>105</v>
      </c>
      <c r="B128" s="118" t="s">
        <v>392</v>
      </c>
      <c r="C128" s="119" t="e">
        <f t="shared" si="5"/>
        <v>#REF!</v>
      </c>
      <c r="D128" s="119" t="e">
        <f t="shared" si="6"/>
        <v>#REF!</v>
      </c>
      <c r="E128" s="119">
        <f t="shared" si="7"/>
        <v>0</v>
      </c>
      <c r="F128" s="119"/>
      <c r="G128" s="120" t="e">
        <f t="shared" si="8"/>
        <v>#REF!</v>
      </c>
      <c r="I128" s="122"/>
      <c r="J128" s="49"/>
      <c r="K128" s="123"/>
      <c r="L128" s="49"/>
      <c r="N128" s="26"/>
    </row>
    <row r="129" spans="1:14" s="48" customFormat="1" x14ac:dyDescent="0.2">
      <c r="A129" s="118">
        <v>106</v>
      </c>
      <c r="B129" s="118" t="s">
        <v>393</v>
      </c>
      <c r="C129" s="119" t="e">
        <f t="shared" si="5"/>
        <v>#REF!</v>
      </c>
      <c r="D129" s="119" t="e">
        <f t="shared" si="6"/>
        <v>#REF!</v>
      </c>
      <c r="E129" s="119">
        <f t="shared" si="7"/>
        <v>0</v>
      </c>
      <c r="F129" s="119"/>
      <c r="G129" s="120" t="e">
        <f t="shared" si="8"/>
        <v>#REF!</v>
      </c>
      <c r="I129" s="122"/>
      <c r="J129" s="49"/>
      <c r="K129" s="123"/>
      <c r="L129" s="49"/>
      <c r="N129" s="26"/>
    </row>
    <row r="130" spans="1:14" s="48" customFormat="1" x14ac:dyDescent="0.2">
      <c r="A130" s="118">
        <v>107</v>
      </c>
      <c r="B130" s="118" t="s">
        <v>394</v>
      </c>
      <c r="C130" s="119" t="e">
        <f t="shared" si="5"/>
        <v>#REF!</v>
      </c>
      <c r="D130" s="119" t="e">
        <f t="shared" si="6"/>
        <v>#REF!</v>
      </c>
      <c r="E130" s="119">
        <f t="shared" si="7"/>
        <v>0</v>
      </c>
      <c r="F130" s="119"/>
      <c r="G130" s="120" t="e">
        <f t="shared" si="8"/>
        <v>#REF!</v>
      </c>
      <c r="I130" s="122"/>
      <c r="J130" s="49"/>
      <c r="K130" s="123"/>
      <c r="L130" s="49"/>
      <c r="N130" s="26"/>
    </row>
    <row r="131" spans="1:14" s="48" customFormat="1" x14ac:dyDescent="0.2">
      <c r="A131" s="118">
        <v>108</v>
      </c>
      <c r="B131" s="118" t="s">
        <v>395</v>
      </c>
      <c r="C131" s="119" t="e">
        <f t="shared" si="5"/>
        <v>#REF!</v>
      </c>
      <c r="D131" s="119" t="e">
        <f t="shared" si="6"/>
        <v>#REF!</v>
      </c>
      <c r="E131" s="119">
        <f t="shared" si="7"/>
        <v>0</v>
      </c>
      <c r="F131" s="119"/>
      <c r="G131" s="120" t="e">
        <f t="shared" si="8"/>
        <v>#REF!</v>
      </c>
      <c r="I131" s="122"/>
      <c r="J131" s="49"/>
      <c r="K131" s="123"/>
      <c r="L131" s="49"/>
      <c r="N131" s="26"/>
    </row>
    <row r="132" spans="1:14" s="48" customFormat="1" x14ac:dyDescent="0.2">
      <c r="A132" s="118">
        <v>109</v>
      </c>
      <c r="B132" s="118" t="s">
        <v>396</v>
      </c>
      <c r="C132" s="119" t="e">
        <f t="shared" si="5"/>
        <v>#REF!</v>
      </c>
      <c r="D132" s="119" t="e">
        <f t="shared" si="6"/>
        <v>#REF!</v>
      </c>
      <c r="E132" s="119">
        <f t="shared" si="7"/>
        <v>0</v>
      </c>
      <c r="F132" s="119"/>
      <c r="G132" s="120" t="e">
        <f t="shared" si="8"/>
        <v>#REF!</v>
      </c>
      <c r="I132" s="122"/>
      <c r="J132" s="49"/>
      <c r="K132" s="123"/>
      <c r="L132" s="49"/>
      <c r="N132" s="26"/>
    </row>
    <row r="133" spans="1:14" s="48" customFormat="1" x14ac:dyDescent="0.2">
      <c r="A133" s="118">
        <v>110</v>
      </c>
      <c r="B133" s="118" t="s">
        <v>397</v>
      </c>
      <c r="C133" s="119" t="e">
        <f t="shared" si="5"/>
        <v>#REF!</v>
      </c>
      <c r="D133" s="119" t="e">
        <f t="shared" si="6"/>
        <v>#REF!</v>
      </c>
      <c r="E133" s="119">
        <f t="shared" si="7"/>
        <v>0</v>
      </c>
      <c r="F133" s="119"/>
      <c r="G133" s="120" t="e">
        <f t="shared" si="8"/>
        <v>#REF!</v>
      </c>
      <c r="I133" s="122"/>
      <c r="J133" s="49"/>
      <c r="K133" s="123"/>
      <c r="L133" s="49"/>
      <c r="N133" s="26"/>
    </row>
    <row r="134" spans="1:14" s="48" customFormat="1" x14ac:dyDescent="0.2">
      <c r="A134" s="118">
        <v>111</v>
      </c>
      <c r="B134" s="118" t="s">
        <v>398</v>
      </c>
      <c r="C134" s="119" t="e">
        <f t="shared" si="5"/>
        <v>#REF!</v>
      </c>
      <c r="D134" s="119" t="e">
        <f t="shared" si="6"/>
        <v>#REF!</v>
      </c>
      <c r="E134" s="119">
        <f t="shared" si="7"/>
        <v>0</v>
      </c>
      <c r="F134" s="119"/>
      <c r="G134" s="120" t="e">
        <f t="shared" si="8"/>
        <v>#REF!</v>
      </c>
      <c r="I134" s="122"/>
      <c r="J134" s="49"/>
      <c r="K134" s="123"/>
      <c r="L134" s="49"/>
      <c r="N134" s="26"/>
    </row>
    <row r="135" spans="1:14" s="48" customFormat="1" x14ac:dyDescent="0.2">
      <c r="A135" s="118">
        <v>112</v>
      </c>
      <c r="B135" s="118" t="s">
        <v>399</v>
      </c>
      <c r="C135" s="119" t="e">
        <f t="shared" si="5"/>
        <v>#REF!</v>
      </c>
      <c r="D135" s="119" t="e">
        <f t="shared" si="6"/>
        <v>#REF!</v>
      </c>
      <c r="E135" s="119">
        <f t="shared" si="7"/>
        <v>0</v>
      </c>
      <c r="F135" s="119"/>
      <c r="G135" s="120" t="e">
        <f t="shared" si="8"/>
        <v>#REF!</v>
      </c>
      <c r="I135" s="122"/>
      <c r="J135" s="49"/>
      <c r="K135" s="123"/>
      <c r="L135" s="49"/>
      <c r="N135" s="26"/>
    </row>
    <row r="136" spans="1:14" s="48" customFormat="1" x14ac:dyDescent="0.2">
      <c r="A136" s="118">
        <v>113</v>
      </c>
      <c r="B136" s="118" t="s">
        <v>400</v>
      </c>
      <c r="C136" s="119" t="e">
        <f t="shared" si="5"/>
        <v>#REF!</v>
      </c>
      <c r="D136" s="119" t="e">
        <f t="shared" si="6"/>
        <v>#REF!</v>
      </c>
      <c r="E136" s="119">
        <f t="shared" si="7"/>
        <v>0</v>
      </c>
      <c r="F136" s="119"/>
      <c r="G136" s="120" t="e">
        <f t="shared" si="8"/>
        <v>#REF!</v>
      </c>
      <c r="I136" s="122"/>
      <c r="J136" s="49"/>
      <c r="K136" s="123"/>
      <c r="L136" s="49"/>
      <c r="N136" s="26"/>
    </row>
    <row r="137" spans="1:14" s="48" customFormat="1" x14ac:dyDescent="0.2">
      <c r="A137" s="118">
        <v>114</v>
      </c>
      <c r="B137" s="118" t="s">
        <v>401</v>
      </c>
      <c r="C137" s="119" t="e">
        <f t="shared" si="5"/>
        <v>#REF!</v>
      </c>
      <c r="D137" s="119" t="e">
        <f t="shared" si="6"/>
        <v>#REF!</v>
      </c>
      <c r="E137" s="119">
        <f t="shared" si="7"/>
        <v>0</v>
      </c>
      <c r="F137" s="119"/>
      <c r="G137" s="120" t="e">
        <f t="shared" si="8"/>
        <v>#REF!</v>
      </c>
      <c r="I137" s="122"/>
      <c r="J137" s="49"/>
      <c r="K137" s="123"/>
      <c r="L137" s="49"/>
      <c r="N137" s="26"/>
    </row>
    <row r="138" spans="1:14" s="48" customFormat="1" x14ac:dyDescent="0.2">
      <c r="A138" s="118">
        <v>115</v>
      </c>
      <c r="B138" s="118" t="s">
        <v>402</v>
      </c>
      <c r="C138" s="119" t="e">
        <f t="shared" si="5"/>
        <v>#REF!</v>
      </c>
      <c r="D138" s="119" t="e">
        <f t="shared" si="6"/>
        <v>#REF!</v>
      </c>
      <c r="E138" s="119">
        <f t="shared" si="7"/>
        <v>0</v>
      </c>
      <c r="F138" s="119"/>
      <c r="G138" s="120" t="e">
        <f t="shared" si="8"/>
        <v>#REF!</v>
      </c>
      <c r="I138" s="122"/>
      <c r="J138" s="49"/>
      <c r="K138" s="123"/>
      <c r="L138" s="49"/>
      <c r="N138" s="26"/>
    </row>
    <row r="139" spans="1:14" s="48" customFormat="1" x14ac:dyDescent="0.2">
      <c r="A139" s="118">
        <v>116</v>
      </c>
      <c r="B139" s="118" t="s">
        <v>403</v>
      </c>
      <c r="C139" s="119" t="e">
        <f t="shared" si="5"/>
        <v>#REF!</v>
      </c>
      <c r="D139" s="119" t="e">
        <f t="shared" si="6"/>
        <v>#REF!</v>
      </c>
      <c r="E139" s="119">
        <f t="shared" si="7"/>
        <v>0</v>
      </c>
      <c r="F139" s="119"/>
      <c r="G139" s="120" t="e">
        <f t="shared" si="8"/>
        <v>#REF!</v>
      </c>
      <c r="I139" s="122"/>
      <c r="J139" s="49"/>
      <c r="K139" s="123"/>
      <c r="L139" s="49"/>
      <c r="N139" s="26"/>
    </row>
    <row r="140" spans="1:14" s="48" customFormat="1" x14ac:dyDescent="0.2">
      <c r="A140" s="118">
        <v>117</v>
      </c>
      <c r="B140" s="118" t="s">
        <v>404</v>
      </c>
      <c r="C140" s="119" t="e">
        <f t="shared" si="5"/>
        <v>#REF!</v>
      </c>
      <c r="D140" s="119" t="e">
        <f t="shared" si="6"/>
        <v>#REF!</v>
      </c>
      <c r="E140" s="119">
        <f t="shared" si="7"/>
        <v>0</v>
      </c>
      <c r="F140" s="119"/>
      <c r="G140" s="120" t="e">
        <f t="shared" si="8"/>
        <v>#REF!</v>
      </c>
      <c r="I140" s="122"/>
      <c r="J140" s="49"/>
      <c r="K140" s="123"/>
      <c r="L140" s="49"/>
      <c r="N140" s="26"/>
    </row>
    <row r="141" spans="1:14" s="48" customFormat="1" x14ac:dyDescent="0.2">
      <c r="A141" s="118">
        <v>118</v>
      </c>
      <c r="B141" s="118" t="s">
        <v>405</v>
      </c>
      <c r="C141" s="119" t="e">
        <f t="shared" si="5"/>
        <v>#REF!</v>
      </c>
      <c r="D141" s="119" t="e">
        <f t="shared" si="6"/>
        <v>#REF!</v>
      </c>
      <c r="E141" s="119">
        <f t="shared" si="7"/>
        <v>0</v>
      </c>
      <c r="F141" s="119"/>
      <c r="G141" s="120" t="e">
        <f t="shared" si="8"/>
        <v>#REF!</v>
      </c>
      <c r="I141" s="122"/>
      <c r="J141" s="49"/>
      <c r="K141" s="123"/>
      <c r="L141" s="49"/>
      <c r="N141" s="26"/>
    </row>
    <row r="142" spans="1:14" s="48" customFormat="1" x14ac:dyDescent="0.2">
      <c r="A142" s="118">
        <v>119</v>
      </c>
      <c r="B142" s="118" t="s">
        <v>406</v>
      </c>
      <c r="C142" s="119" t="e">
        <f t="shared" si="5"/>
        <v>#REF!</v>
      </c>
      <c r="D142" s="119" t="e">
        <f t="shared" si="6"/>
        <v>#REF!</v>
      </c>
      <c r="E142" s="119">
        <f t="shared" si="7"/>
        <v>0</v>
      </c>
      <c r="F142" s="119"/>
      <c r="G142" s="120" t="e">
        <f t="shared" si="8"/>
        <v>#REF!</v>
      </c>
      <c r="I142" s="122"/>
      <c r="J142" s="49"/>
      <c r="K142" s="123"/>
      <c r="L142" s="49"/>
      <c r="N142" s="26"/>
    </row>
    <row r="143" spans="1:14" s="48" customFormat="1" x14ac:dyDescent="0.2">
      <c r="A143" s="118">
        <v>120</v>
      </c>
      <c r="B143" s="118" t="s">
        <v>407</v>
      </c>
      <c r="C143" s="119" t="e">
        <f t="shared" si="5"/>
        <v>#REF!</v>
      </c>
      <c r="D143" s="119" t="e">
        <f t="shared" si="6"/>
        <v>#REF!</v>
      </c>
      <c r="E143" s="119">
        <f t="shared" si="7"/>
        <v>0</v>
      </c>
      <c r="F143" s="119"/>
      <c r="G143" s="120" t="e">
        <f t="shared" si="8"/>
        <v>#REF!</v>
      </c>
      <c r="I143" s="122"/>
      <c r="J143" s="49"/>
      <c r="K143" s="123"/>
      <c r="L143" s="49"/>
      <c r="N143" s="26"/>
    </row>
    <row r="144" spans="1:14" s="48" customFormat="1" x14ac:dyDescent="0.2">
      <c r="A144" s="118">
        <v>121</v>
      </c>
      <c r="B144" s="118" t="s">
        <v>408</v>
      </c>
      <c r="C144" s="119" t="e">
        <f t="shared" si="5"/>
        <v>#REF!</v>
      </c>
      <c r="D144" s="119" t="e">
        <f t="shared" si="6"/>
        <v>#REF!</v>
      </c>
      <c r="E144" s="119">
        <f t="shared" si="7"/>
        <v>0</v>
      </c>
      <c r="F144" s="119" t="e">
        <f>D19</f>
        <v>#REF!</v>
      </c>
      <c r="G144" s="120" t="e">
        <f t="shared" si="8"/>
        <v>#REF!</v>
      </c>
      <c r="I144" s="122"/>
      <c r="J144" s="49"/>
      <c r="K144" s="123"/>
      <c r="L144" s="49"/>
      <c r="N144" s="26"/>
    </row>
    <row r="145" spans="1:14" s="48" customFormat="1" x14ac:dyDescent="0.2">
      <c r="A145" s="118">
        <v>122</v>
      </c>
      <c r="B145" s="118" t="s">
        <v>409</v>
      </c>
      <c r="C145" s="119" t="e">
        <f t="shared" si="5"/>
        <v>#REF!</v>
      </c>
      <c r="D145" s="119" t="e">
        <f t="shared" si="6"/>
        <v>#REF!</v>
      </c>
      <c r="E145" s="119">
        <f t="shared" si="7"/>
        <v>0</v>
      </c>
      <c r="F145" s="119"/>
      <c r="G145" s="120" t="e">
        <f t="shared" si="8"/>
        <v>#REF!</v>
      </c>
      <c r="I145" s="122"/>
      <c r="J145" s="49"/>
      <c r="K145" s="123"/>
      <c r="L145" s="49"/>
      <c r="N145" s="26"/>
    </row>
    <row r="146" spans="1:14" x14ac:dyDescent="0.2">
      <c r="A146" s="10" t="s">
        <v>113</v>
      </c>
      <c r="B146" s="124"/>
      <c r="C146" s="125"/>
      <c r="D146" s="126"/>
      <c r="E146" s="126"/>
      <c r="F146" s="126"/>
      <c r="G146" s="82"/>
    </row>
    <row r="147" spans="1:14" ht="25.5" customHeight="1" x14ac:dyDescent="0.2">
      <c r="A147" s="723" t="s">
        <v>114</v>
      </c>
      <c r="B147" s="723"/>
      <c r="C147" s="723"/>
      <c r="D147" s="723"/>
      <c r="E147" s="723"/>
      <c r="F147" s="723"/>
      <c r="G147" s="723"/>
    </row>
    <row r="148" spans="1:14" ht="28.5" customHeight="1" x14ac:dyDescent="0.2">
      <c r="A148" s="722" t="s">
        <v>115</v>
      </c>
      <c r="B148" s="722"/>
      <c r="C148" s="722"/>
      <c r="D148" s="722"/>
      <c r="E148" s="722"/>
      <c r="F148" s="722"/>
      <c r="G148" s="722"/>
    </row>
    <row r="149" spans="1:14" x14ac:dyDescent="0.2">
      <c r="A149" s="722" t="s">
        <v>116</v>
      </c>
      <c r="B149" s="722"/>
      <c r="C149" s="722"/>
      <c r="D149" s="722"/>
      <c r="E149" s="722"/>
      <c r="F149" s="722"/>
      <c r="G149" s="722"/>
    </row>
    <row r="150" spans="1:14" ht="27.75" customHeight="1" x14ac:dyDescent="0.2">
      <c r="A150" s="722" t="s">
        <v>117</v>
      </c>
      <c r="B150" s="722"/>
      <c r="C150" s="722"/>
      <c r="D150" s="722"/>
      <c r="E150" s="722"/>
      <c r="F150" s="722"/>
      <c r="G150" s="722"/>
    </row>
    <row r="151" spans="1:14" x14ac:dyDescent="0.2">
      <c r="A151" s="723" t="s">
        <v>118</v>
      </c>
      <c r="B151" s="723"/>
      <c r="C151" s="723"/>
      <c r="D151" s="723"/>
      <c r="E151" s="723"/>
      <c r="F151" s="723"/>
      <c r="G151" s="723"/>
      <c r="H151" s="81"/>
      <c r="I151" s="127"/>
      <c r="J151" s="127"/>
    </row>
    <row r="152" spans="1:14" ht="21" customHeight="1" x14ac:dyDescent="0.2">
      <c r="A152" s="725" t="s">
        <v>119</v>
      </c>
      <c r="B152" s="725"/>
      <c r="C152" s="725"/>
      <c r="D152" s="725"/>
      <c r="E152" s="725"/>
      <c r="F152" s="725"/>
      <c r="G152" s="725"/>
      <c r="H152" s="81"/>
      <c r="I152" s="127"/>
      <c r="J152" s="127"/>
    </row>
    <row r="153" spans="1:14" ht="27" customHeight="1" x14ac:dyDescent="0.2">
      <c r="A153" s="725" t="s">
        <v>414</v>
      </c>
      <c r="B153" s="725"/>
      <c r="C153" s="725"/>
      <c r="D153" s="725"/>
      <c r="E153" s="725"/>
      <c r="F153" s="725"/>
      <c r="G153" s="725"/>
      <c r="H153" s="81"/>
      <c r="I153" s="127"/>
      <c r="J153" s="127"/>
    </row>
    <row r="154" spans="1:14" x14ac:dyDescent="0.2">
      <c r="A154" s="722" t="s">
        <v>413</v>
      </c>
      <c r="B154" s="722"/>
      <c r="C154" s="722"/>
      <c r="D154" s="722"/>
      <c r="E154" s="722"/>
      <c r="F154" s="722"/>
      <c r="G154" s="722"/>
      <c r="H154" s="81"/>
      <c r="I154" s="127"/>
      <c r="J154" s="127"/>
    </row>
    <row r="155" spans="1:14" x14ac:dyDescent="0.2">
      <c r="A155" s="26" t="s">
        <v>91</v>
      </c>
      <c r="H155" s="81"/>
      <c r="I155" s="127"/>
      <c r="J155" s="127"/>
    </row>
    <row r="156" spans="1:14" x14ac:dyDescent="0.2">
      <c r="H156" s="81"/>
      <c r="I156" s="127"/>
      <c r="J156" s="127"/>
    </row>
    <row r="157" spans="1:14" x14ac:dyDescent="0.2">
      <c r="A157" s="128"/>
      <c r="B157" s="129"/>
      <c r="F157" s="130"/>
      <c r="G157" s="130"/>
      <c r="H157" s="81"/>
      <c r="I157" s="127"/>
      <c r="J157" s="127"/>
    </row>
    <row r="158" spans="1:14" x14ac:dyDescent="0.2">
      <c r="A158" s="724" t="s">
        <v>92</v>
      </c>
      <c r="B158" s="724"/>
      <c r="F158" s="720" t="s">
        <v>93</v>
      </c>
      <c r="G158" s="720"/>
      <c r="H158" s="81"/>
      <c r="I158" s="127"/>
      <c r="J158" s="127"/>
    </row>
  </sheetData>
  <sheetProtection sheet="1" objects="1" scenarios="1"/>
  <mergeCells count="27">
    <mergeCell ref="B6:C6"/>
    <mergeCell ref="A158:B158"/>
    <mergeCell ref="F158:G158"/>
    <mergeCell ref="A154:G154"/>
    <mergeCell ref="A150:G150"/>
    <mergeCell ref="A152:G152"/>
    <mergeCell ref="A153:G153"/>
    <mergeCell ref="A149:G149"/>
    <mergeCell ref="A151:G151"/>
    <mergeCell ref="D18:E18"/>
    <mergeCell ref="D19:E19"/>
    <mergeCell ref="A147:G147"/>
    <mergeCell ref="A148:G148"/>
    <mergeCell ref="D20:E20"/>
    <mergeCell ref="B1:C1"/>
    <mergeCell ref="B2:C2"/>
    <mergeCell ref="B3:C3"/>
    <mergeCell ref="B4:C4"/>
    <mergeCell ref="B5:C5"/>
    <mergeCell ref="D16:E16"/>
    <mergeCell ref="D17:E17"/>
    <mergeCell ref="B7:C7"/>
    <mergeCell ref="B8:C8"/>
    <mergeCell ref="D11:E11"/>
    <mergeCell ref="D12:E12"/>
    <mergeCell ref="D13:E13"/>
    <mergeCell ref="D14:E14"/>
  </mergeCells>
  <hyperlinks>
    <hyperlink ref="G8" location="INPUT!A1" display="BACK TO INPUT" xr:uid="{00000000-0004-0000-0A00-000000000000}"/>
  </hyperlinks>
  <printOptions horizontalCentered="1"/>
  <pageMargins left="0.25" right="0.25" top="0.75" bottom="0.75" header="0.3" footer="0.3"/>
  <pageSetup paperSize="14"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U106"/>
  <sheetViews>
    <sheetView zoomScale="85" zoomScaleNormal="85" workbookViewId="0">
      <selection activeCell="D19" sqref="D19:E19"/>
    </sheetView>
  </sheetViews>
  <sheetFormatPr baseColWidth="10" defaultColWidth="0" defaultRowHeight="15" x14ac:dyDescent="0.2"/>
  <cols>
    <col min="1" max="1" width="34.33203125" style="449" bestFit="1" customWidth="1"/>
    <col min="2" max="2" width="10.33203125" style="467" bestFit="1" customWidth="1"/>
    <col min="3" max="3" width="16" style="449" bestFit="1" customWidth="1"/>
    <col min="4" max="4" width="18.5" style="448" bestFit="1" customWidth="1"/>
    <col min="5" max="5" width="16.33203125" style="448" bestFit="1" customWidth="1"/>
    <col min="6" max="6" width="13" style="448" bestFit="1" customWidth="1"/>
    <col min="7" max="7" width="18.5"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ol min="13" max="13" width="6.1640625" style="449" hidden="1" customWidth="1"/>
    <col min="14" max="14" width="27.1640625" style="449" hidden="1" customWidth="1"/>
    <col min="15" max="18" width="22.5" style="449" hidden="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B2-L10</v>
      </c>
      <c r="J1" s="450"/>
      <c r="K1" s="466">
        <f>VLOOKUP(I1,'SOLA Pricelist'!B9:P62,13,FALSE)</f>
        <v>11984000</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B2-L10</v>
      </c>
      <c r="C4" s="712"/>
      <c r="D4" s="461"/>
      <c r="E4" s="461"/>
      <c r="I4" s="450"/>
      <c r="J4" s="456" t="s">
        <v>109</v>
      </c>
      <c r="K4" s="457">
        <v>0</v>
      </c>
      <c r="L4" s="450"/>
      <c r="M4" s="453">
        <v>0.02</v>
      </c>
      <c r="S4" s="462"/>
      <c r="T4" s="463" t="s">
        <v>109</v>
      </c>
      <c r="U4" s="464">
        <v>0</v>
      </c>
    </row>
    <row r="5" spans="1:21" x14ac:dyDescent="0.2">
      <c r="A5" s="455" t="str">
        <f>INPUT!C19</f>
        <v>Lot Area (sqm.)</v>
      </c>
      <c r="B5" s="712">
        <f>INPUT!D19</f>
        <v>300</v>
      </c>
      <c r="C5" s="712"/>
      <c r="D5" s="461"/>
      <c r="E5" s="461"/>
      <c r="G5" s="449"/>
      <c r="I5" s="450"/>
      <c r="J5" s="465" t="s">
        <v>596</v>
      </c>
      <c r="K5" s="464">
        <v>300000</v>
      </c>
      <c r="L5" s="450"/>
      <c r="M5" s="453">
        <v>0.03</v>
      </c>
    </row>
    <row r="6" spans="1:21" x14ac:dyDescent="0.2">
      <c r="A6" s="455" t="str">
        <f>INPUT!C20</f>
        <v>Lot Type</v>
      </c>
      <c r="B6" s="712" t="str">
        <f>INPUT!D20</f>
        <v>Parkview</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2" customHeight="1" x14ac:dyDescent="0.2">
      <c r="A8" s="562" t="s">
        <v>23</v>
      </c>
      <c r="B8" s="711" t="str">
        <f>INPUT!F19</f>
        <v>10% Spot / 15% in 30 mos / 75% LS</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11424000</v>
      </c>
      <c r="E12" s="714"/>
      <c r="I12" s="484"/>
      <c r="J12" s="450"/>
      <c r="K12" s="466"/>
      <c r="L12" s="450"/>
    </row>
    <row r="13" spans="1:21" s="485" customFormat="1" ht="14.25" hidden="1" customHeight="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hidden="1" x14ac:dyDescent="0.2">
      <c r="A15" s="454" t="s">
        <v>501</v>
      </c>
      <c r="B15" s="524"/>
      <c r="C15" s="458">
        <v>0</v>
      </c>
      <c r="D15" s="708">
        <f>(D12-D13-D14)*C15</f>
        <v>0</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11424000</v>
      </c>
      <c r="E19" s="707"/>
      <c r="I19" s="498"/>
      <c r="J19" s="486"/>
      <c r="K19" s="488"/>
      <c r="L19" s="487"/>
    </row>
    <row r="20" spans="1:16" s="485" customFormat="1" x14ac:dyDescent="0.2">
      <c r="A20" s="521" t="str">
        <f>IF(INPUT!D22=INPUT!N14,"          Discounted List Price (VAT-EX)","         List Price (VAT-EX)")</f>
        <v xml:space="preserve">         List Price (VAT-EX)</v>
      </c>
      <c r="B20" s="522"/>
      <c r="D20" s="706">
        <f>D19/1.12</f>
        <v>10199999.999999998</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10199999.999999998</v>
      </c>
      <c r="E22" s="707"/>
      <c r="I22" s="499"/>
      <c r="J22" s="487"/>
      <c r="K22" s="488"/>
      <c r="L22" s="487"/>
    </row>
    <row r="23" spans="1:16" s="485" customFormat="1" x14ac:dyDescent="0.2">
      <c r="A23" s="521" t="s">
        <v>607</v>
      </c>
      <c r="B23" s="522"/>
      <c r="C23" s="531">
        <v>0.12</v>
      </c>
      <c r="D23" s="706">
        <f>D22*C23</f>
        <v>1223999.9999999998</v>
      </c>
      <c r="E23" s="706"/>
      <c r="I23" s="487"/>
      <c r="J23" s="487"/>
      <c r="K23" s="488"/>
      <c r="L23" s="487"/>
    </row>
    <row r="24" spans="1:16" x14ac:dyDescent="0.2">
      <c r="A24" s="511" t="s">
        <v>608</v>
      </c>
      <c r="C24" s="532">
        <v>0.05</v>
      </c>
      <c r="D24" s="706">
        <f>D22*C24</f>
        <v>509999.99999999994</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12493999.999999998</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12393999.999999998</v>
      </c>
      <c r="I29" s="706"/>
      <c r="J29" s="706"/>
      <c r="K29" s="508"/>
      <c r="L29" s="509"/>
      <c r="M29" s="510"/>
      <c r="N29" s="511"/>
      <c r="P29" s="491"/>
    </row>
    <row r="30" spans="1:16" x14ac:dyDescent="0.2">
      <c r="A30" s="455">
        <f>A29+1</f>
        <v>1</v>
      </c>
      <c r="B30" s="455" t="s">
        <v>102</v>
      </c>
      <c r="C30" s="553">
        <f>SUM(D30:F30)</f>
        <v>1149399.9999999998</v>
      </c>
      <c r="D30" s="551">
        <f>(((D22+D23)*I30-D29)/J30)</f>
        <v>1067399.9999999998</v>
      </c>
      <c r="E30" s="551">
        <f>((D25*I30-E29)/J30)</f>
        <v>31000</v>
      </c>
      <c r="F30" s="551">
        <f>(D24*I30)</f>
        <v>51000</v>
      </c>
      <c r="G30" s="552">
        <f>G29-C30</f>
        <v>11244599.999999998</v>
      </c>
      <c r="H30" s="512"/>
      <c r="I30" s="513">
        <v>0.1</v>
      </c>
      <c r="J30" s="450">
        <v>1</v>
      </c>
      <c r="K30" s="510"/>
      <c r="L30" s="510"/>
      <c r="M30" s="510"/>
      <c r="O30" s="502"/>
      <c r="P30" s="496"/>
    </row>
    <row r="31" spans="1:16" s="514" customFormat="1" x14ac:dyDescent="0.2">
      <c r="A31" s="455">
        <f t="shared" ref="A31:A90" si="0">A30+1</f>
        <v>2</v>
      </c>
      <c r="B31" s="455" t="s">
        <v>30</v>
      </c>
      <c r="C31" s="553">
        <f t="shared" ref="C31:C90" si="1">SUM(D31:F31)</f>
        <v>62469.999999999993</v>
      </c>
      <c r="D31" s="551">
        <f>((D26-(D24+D25))*I31/J31)</f>
        <v>57119.999999999993</v>
      </c>
      <c r="E31" s="551">
        <f>((D25*I31)/J31)</f>
        <v>2800</v>
      </c>
      <c r="F31" s="551">
        <f>(D24*I31)/J31</f>
        <v>2549.9999999999995</v>
      </c>
      <c r="G31" s="552">
        <f t="shared" ref="G31:G90" si="2">G30-C31</f>
        <v>11182129.999999998</v>
      </c>
      <c r="I31" s="513">
        <v>0.15</v>
      </c>
      <c r="J31" s="450">
        <v>30</v>
      </c>
      <c r="K31" s="515"/>
      <c r="L31" s="516"/>
      <c r="M31" s="517"/>
      <c r="O31" s="518"/>
    </row>
    <row r="32" spans="1:16" x14ac:dyDescent="0.2">
      <c r="A32" s="455">
        <f t="shared" si="0"/>
        <v>3</v>
      </c>
      <c r="B32" s="455" t="s">
        <v>31</v>
      </c>
      <c r="C32" s="553">
        <f t="shared" si="1"/>
        <v>62469.999999999993</v>
      </c>
      <c r="D32" s="551">
        <f>D31</f>
        <v>57119.999999999993</v>
      </c>
      <c r="E32" s="551">
        <f>E31</f>
        <v>2800</v>
      </c>
      <c r="F32" s="551">
        <f>F31</f>
        <v>2549.9999999999995</v>
      </c>
      <c r="G32" s="552">
        <f t="shared" si="2"/>
        <v>11119659.999999998</v>
      </c>
      <c r="I32" s="561">
        <f>100%-I31-I30</f>
        <v>0.75</v>
      </c>
      <c r="J32" s="450">
        <v>1</v>
      </c>
    </row>
    <row r="33" spans="1:7" x14ac:dyDescent="0.2">
      <c r="A33" s="455">
        <f t="shared" si="0"/>
        <v>4</v>
      </c>
      <c r="B33" s="455" t="s">
        <v>32</v>
      </c>
      <c r="C33" s="553">
        <f t="shared" si="1"/>
        <v>62469.999999999993</v>
      </c>
      <c r="D33" s="551">
        <f>D32</f>
        <v>57119.999999999993</v>
      </c>
      <c r="E33" s="551">
        <f>E32</f>
        <v>2800</v>
      </c>
      <c r="F33" s="551">
        <f t="shared" ref="F33:F90" si="3">F32</f>
        <v>2549.9999999999995</v>
      </c>
      <c r="G33" s="552">
        <f t="shared" si="2"/>
        <v>11057189.999999998</v>
      </c>
    </row>
    <row r="34" spans="1:7" x14ac:dyDescent="0.2">
      <c r="A34" s="455">
        <f t="shared" si="0"/>
        <v>5</v>
      </c>
      <c r="B34" s="455" t="s">
        <v>33</v>
      </c>
      <c r="C34" s="553">
        <f t="shared" si="1"/>
        <v>62469.999999999993</v>
      </c>
      <c r="D34" s="551">
        <f t="shared" ref="D34:E49" si="4">D33</f>
        <v>57119.999999999993</v>
      </c>
      <c r="E34" s="551">
        <f t="shared" si="4"/>
        <v>2800</v>
      </c>
      <c r="F34" s="551">
        <f t="shared" si="3"/>
        <v>2549.9999999999995</v>
      </c>
      <c r="G34" s="552">
        <f t="shared" si="2"/>
        <v>10994719.999999998</v>
      </c>
    </row>
    <row r="35" spans="1:7" x14ac:dyDescent="0.2">
      <c r="A35" s="455">
        <f t="shared" si="0"/>
        <v>6</v>
      </c>
      <c r="B35" s="455" t="s">
        <v>34</v>
      </c>
      <c r="C35" s="553">
        <f t="shared" si="1"/>
        <v>62469.999999999993</v>
      </c>
      <c r="D35" s="551">
        <f t="shared" si="4"/>
        <v>57119.999999999993</v>
      </c>
      <c r="E35" s="551">
        <f t="shared" si="4"/>
        <v>2800</v>
      </c>
      <c r="F35" s="551">
        <f t="shared" si="3"/>
        <v>2549.9999999999995</v>
      </c>
      <c r="G35" s="552">
        <f t="shared" si="2"/>
        <v>10932249.999999998</v>
      </c>
    </row>
    <row r="36" spans="1:7" x14ac:dyDescent="0.2">
      <c r="A36" s="455">
        <f t="shared" si="0"/>
        <v>7</v>
      </c>
      <c r="B36" s="455" t="s">
        <v>35</v>
      </c>
      <c r="C36" s="553">
        <f t="shared" si="1"/>
        <v>62469.999999999993</v>
      </c>
      <c r="D36" s="551">
        <f t="shared" si="4"/>
        <v>57119.999999999993</v>
      </c>
      <c r="E36" s="551">
        <f t="shared" si="4"/>
        <v>2800</v>
      </c>
      <c r="F36" s="551">
        <f t="shared" si="3"/>
        <v>2549.9999999999995</v>
      </c>
      <c r="G36" s="552">
        <f t="shared" si="2"/>
        <v>10869779.999999998</v>
      </c>
    </row>
    <row r="37" spans="1:7" x14ac:dyDescent="0.2">
      <c r="A37" s="455">
        <f t="shared" si="0"/>
        <v>8</v>
      </c>
      <c r="B37" s="455" t="s">
        <v>36</v>
      </c>
      <c r="C37" s="553">
        <f t="shared" si="1"/>
        <v>62469.999999999993</v>
      </c>
      <c r="D37" s="551">
        <f t="shared" si="4"/>
        <v>57119.999999999993</v>
      </c>
      <c r="E37" s="551">
        <f t="shared" si="4"/>
        <v>2800</v>
      </c>
      <c r="F37" s="551">
        <f t="shared" si="3"/>
        <v>2549.9999999999995</v>
      </c>
      <c r="G37" s="552">
        <f t="shared" si="2"/>
        <v>10807309.999999998</v>
      </c>
    </row>
    <row r="38" spans="1:7" x14ac:dyDescent="0.2">
      <c r="A38" s="455">
        <f t="shared" si="0"/>
        <v>9</v>
      </c>
      <c r="B38" s="455" t="s">
        <v>37</v>
      </c>
      <c r="C38" s="553">
        <f t="shared" si="1"/>
        <v>62469.999999999993</v>
      </c>
      <c r="D38" s="551">
        <f t="shared" si="4"/>
        <v>57119.999999999993</v>
      </c>
      <c r="E38" s="551">
        <f t="shared" si="4"/>
        <v>2800</v>
      </c>
      <c r="F38" s="551">
        <f t="shared" si="3"/>
        <v>2549.9999999999995</v>
      </c>
      <c r="G38" s="552">
        <f t="shared" si="2"/>
        <v>10744839.999999998</v>
      </c>
    </row>
    <row r="39" spans="1:7" x14ac:dyDescent="0.2">
      <c r="A39" s="455">
        <f t="shared" si="0"/>
        <v>10</v>
      </c>
      <c r="B39" s="455" t="s">
        <v>38</v>
      </c>
      <c r="C39" s="553">
        <f t="shared" si="1"/>
        <v>62469.999999999993</v>
      </c>
      <c r="D39" s="551">
        <f t="shared" si="4"/>
        <v>57119.999999999993</v>
      </c>
      <c r="E39" s="551">
        <f t="shared" si="4"/>
        <v>2800</v>
      </c>
      <c r="F39" s="551">
        <f t="shared" si="3"/>
        <v>2549.9999999999995</v>
      </c>
      <c r="G39" s="552">
        <f t="shared" si="2"/>
        <v>10682369.999999998</v>
      </c>
    </row>
    <row r="40" spans="1:7" x14ac:dyDescent="0.2">
      <c r="A40" s="455">
        <f t="shared" si="0"/>
        <v>11</v>
      </c>
      <c r="B40" s="455" t="s">
        <v>39</v>
      </c>
      <c r="C40" s="553">
        <f t="shared" si="1"/>
        <v>62469.999999999993</v>
      </c>
      <c r="D40" s="551">
        <f t="shared" si="4"/>
        <v>57119.999999999993</v>
      </c>
      <c r="E40" s="551">
        <f t="shared" si="4"/>
        <v>2800</v>
      </c>
      <c r="F40" s="551">
        <f t="shared" si="3"/>
        <v>2549.9999999999995</v>
      </c>
      <c r="G40" s="552">
        <f t="shared" si="2"/>
        <v>10619899.999999998</v>
      </c>
    </row>
    <row r="41" spans="1:7" x14ac:dyDescent="0.2">
      <c r="A41" s="455">
        <f t="shared" si="0"/>
        <v>12</v>
      </c>
      <c r="B41" s="455" t="s">
        <v>40</v>
      </c>
      <c r="C41" s="553">
        <f t="shared" si="1"/>
        <v>62469.999999999993</v>
      </c>
      <c r="D41" s="551">
        <f t="shared" si="4"/>
        <v>57119.999999999993</v>
      </c>
      <c r="E41" s="551">
        <f t="shared" si="4"/>
        <v>2800</v>
      </c>
      <c r="F41" s="551">
        <f t="shared" si="3"/>
        <v>2549.9999999999995</v>
      </c>
      <c r="G41" s="552">
        <f t="shared" si="2"/>
        <v>10557429.999999998</v>
      </c>
    </row>
    <row r="42" spans="1:7" x14ac:dyDescent="0.2">
      <c r="A42" s="455">
        <f t="shared" si="0"/>
        <v>13</v>
      </c>
      <c r="B42" s="455" t="s">
        <v>41</v>
      </c>
      <c r="C42" s="553">
        <f t="shared" si="1"/>
        <v>62469.999999999993</v>
      </c>
      <c r="D42" s="551">
        <f t="shared" si="4"/>
        <v>57119.999999999993</v>
      </c>
      <c r="E42" s="551">
        <f t="shared" si="4"/>
        <v>2800</v>
      </c>
      <c r="F42" s="551">
        <f t="shared" si="3"/>
        <v>2549.9999999999995</v>
      </c>
      <c r="G42" s="552">
        <f t="shared" si="2"/>
        <v>10494959.999999998</v>
      </c>
    </row>
    <row r="43" spans="1:7" x14ac:dyDescent="0.2">
      <c r="A43" s="455">
        <f t="shared" si="0"/>
        <v>14</v>
      </c>
      <c r="B43" s="455" t="s">
        <v>42</v>
      </c>
      <c r="C43" s="553">
        <f t="shared" si="1"/>
        <v>62469.999999999993</v>
      </c>
      <c r="D43" s="551">
        <f t="shared" si="4"/>
        <v>57119.999999999993</v>
      </c>
      <c r="E43" s="551">
        <f t="shared" si="4"/>
        <v>2800</v>
      </c>
      <c r="F43" s="551">
        <f t="shared" si="3"/>
        <v>2549.9999999999995</v>
      </c>
      <c r="G43" s="552">
        <f t="shared" si="2"/>
        <v>10432489.999999998</v>
      </c>
    </row>
    <row r="44" spans="1:7" x14ac:dyDescent="0.2">
      <c r="A44" s="455">
        <f t="shared" si="0"/>
        <v>15</v>
      </c>
      <c r="B44" s="455" t="s">
        <v>43</v>
      </c>
      <c r="C44" s="553">
        <f t="shared" si="1"/>
        <v>62469.999999999993</v>
      </c>
      <c r="D44" s="551">
        <f t="shared" si="4"/>
        <v>57119.999999999993</v>
      </c>
      <c r="E44" s="551">
        <f t="shared" si="4"/>
        <v>2800</v>
      </c>
      <c r="F44" s="551">
        <f t="shared" si="3"/>
        <v>2549.9999999999995</v>
      </c>
      <c r="G44" s="552">
        <f t="shared" si="2"/>
        <v>10370019.999999998</v>
      </c>
    </row>
    <row r="45" spans="1:7" x14ac:dyDescent="0.2">
      <c r="A45" s="455">
        <f t="shared" si="0"/>
        <v>16</v>
      </c>
      <c r="B45" s="455" t="s">
        <v>44</v>
      </c>
      <c r="C45" s="553">
        <f t="shared" si="1"/>
        <v>62469.999999999993</v>
      </c>
      <c r="D45" s="551">
        <f t="shared" si="4"/>
        <v>57119.999999999993</v>
      </c>
      <c r="E45" s="551">
        <f t="shared" si="4"/>
        <v>2800</v>
      </c>
      <c r="F45" s="551">
        <f t="shared" si="3"/>
        <v>2549.9999999999995</v>
      </c>
      <c r="G45" s="552">
        <f t="shared" si="2"/>
        <v>10307549.999999998</v>
      </c>
    </row>
    <row r="46" spans="1:7" x14ac:dyDescent="0.2">
      <c r="A46" s="455">
        <f t="shared" si="0"/>
        <v>17</v>
      </c>
      <c r="B46" s="455" t="s">
        <v>45</v>
      </c>
      <c r="C46" s="553">
        <f t="shared" si="1"/>
        <v>62469.999999999993</v>
      </c>
      <c r="D46" s="551">
        <f t="shared" si="4"/>
        <v>57119.999999999993</v>
      </c>
      <c r="E46" s="551">
        <f t="shared" si="4"/>
        <v>2800</v>
      </c>
      <c r="F46" s="551">
        <f t="shared" si="3"/>
        <v>2549.9999999999995</v>
      </c>
      <c r="G46" s="552">
        <f t="shared" si="2"/>
        <v>10245079.999999998</v>
      </c>
    </row>
    <row r="47" spans="1:7" x14ac:dyDescent="0.2">
      <c r="A47" s="455">
        <f t="shared" si="0"/>
        <v>18</v>
      </c>
      <c r="B47" s="455" t="s">
        <v>46</v>
      </c>
      <c r="C47" s="553">
        <f t="shared" si="1"/>
        <v>62469.999999999993</v>
      </c>
      <c r="D47" s="551">
        <f t="shared" si="4"/>
        <v>57119.999999999993</v>
      </c>
      <c r="E47" s="551">
        <f t="shared" si="4"/>
        <v>2800</v>
      </c>
      <c r="F47" s="551">
        <f t="shared" si="3"/>
        <v>2549.9999999999995</v>
      </c>
      <c r="G47" s="552">
        <f t="shared" si="2"/>
        <v>10182609.999999998</v>
      </c>
    </row>
    <row r="48" spans="1:7" x14ac:dyDescent="0.2">
      <c r="A48" s="455">
        <f t="shared" si="0"/>
        <v>19</v>
      </c>
      <c r="B48" s="455" t="s">
        <v>47</v>
      </c>
      <c r="C48" s="553">
        <f t="shared" si="1"/>
        <v>62469.999999999993</v>
      </c>
      <c r="D48" s="551">
        <f t="shared" si="4"/>
        <v>57119.999999999993</v>
      </c>
      <c r="E48" s="551">
        <f t="shared" si="4"/>
        <v>2800</v>
      </c>
      <c r="F48" s="551">
        <f t="shared" si="3"/>
        <v>2549.9999999999995</v>
      </c>
      <c r="G48" s="552">
        <f t="shared" si="2"/>
        <v>10120139.999999998</v>
      </c>
    </row>
    <row r="49" spans="1:7" x14ac:dyDescent="0.2">
      <c r="A49" s="455">
        <f t="shared" si="0"/>
        <v>20</v>
      </c>
      <c r="B49" s="455" t="s">
        <v>48</v>
      </c>
      <c r="C49" s="553">
        <f t="shared" si="1"/>
        <v>62469.999999999993</v>
      </c>
      <c r="D49" s="551">
        <f t="shared" si="4"/>
        <v>57119.999999999993</v>
      </c>
      <c r="E49" s="551">
        <f t="shared" si="4"/>
        <v>2800</v>
      </c>
      <c r="F49" s="551">
        <f t="shared" si="3"/>
        <v>2549.9999999999995</v>
      </c>
      <c r="G49" s="552">
        <f t="shared" si="2"/>
        <v>10057669.999999998</v>
      </c>
    </row>
    <row r="50" spans="1:7" x14ac:dyDescent="0.2">
      <c r="A50" s="455">
        <f t="shared" si="0"/>
        <v>21</v>
      </c>
      <c r="B50" s="455" t="s">
        <v>49</v>
      </c>
      <c r="C50" s="553">
        <f t="shared" si="1"/>
        <v>62469.999999999993</v>
      </c>
      <c r="D50" s="551">
        <f t="shared" ref="D50:E65" si="5">D49</f>
        <v>57119.999999999993</v>
      </c>
      <c r="E50" s="551">
        <f t="shared" si="5"/>
        <v>2800</v>
      </c>
      <c r="F50" s="551">
        <f t="shared" si="3"/>
        <v>2549.9999999999995</v>
      </c>
      <c r="G50" s="552">
        <f t="shared" si="2"/>
        <v>9995199.9999999981</v>
      </c>
    </row>
    <row r="51" spans="1:7" x14ac:dyDescent="0.2">
      <c r="A51" s="455">
        <f t="shared" si="0"/>
        <v>22</v>
      </c>
      <c r="B51" s="455" t="s">
        <v>50</v>
      </c>
      <c r="C51" s="553">
        <f t="shared" si="1"/>
        <v>62469.999999999993</v>
      </c>
      <c r="D51" s="551">
        <f t="shared" si="5"/>
        <v>57119.999999999993</v>
      </c>
      <c r="E51" s="551">
        <f t="shared" si="5"/>
        <v>2800</v>
      </c>
      <c r="F51" s="551">
        <f t="shared" si="3"/>
        <v>2549.9999999999995</v>
      </c>
      <c r="G51" s="552">
        <f t="shared" si="2"/>
        <v>9932729.9999999981</v>
      </c>
    </row>
    <row r="52" spans="1:7" x14ac:dyDescent="0.2">
      <c r="A52" s="455">
        <f t="shared" si="0"/>
        <v>23</v>
      </c>
      <c r="B52" s="455" t="s">
        <v>51</v>
      </c>
      <c r="C52" s="553">
        <f t="shared" si="1"/>
        <v>62469.999999999993</v>
      </c>
      <c r="D52" s="551">
        <f t="shared" si="5"/>
        <v>57119.999999999993</v>
      </c>
      <c r="E52" s="551">
        <f t="shared" si="5"/>
        <v>2800</v>
      </c>
      <c r="F52" s="551">
        <f t="shared" si="3"/>
        <v>2549.9999999999995</v>
      </c>
      <c r="G52" s="552">
        <f t="shared" si="2"/>
        <v>9870259.9999999981</v>
      </c>
    </row>
    <row r="53" spans="1:7" x14ac:dyDescent="0.2">
      <c r="A53" s="455">
        <f t="shared" si="0"/>
        <v>24</v>
      </c>
      <c r="B53" s="455" t="s">
        <v>52</v>
      </c>
      <c r="C53" s="553">
        <f t="shared" si="1"/>
        <v>62469.999999999993</v>
      </c>
      <c r="D53" s="551">
        <f t="shared" si="5"/>
        <v>57119.999999999993</v>
      </c>
      <c r="E53" s="551">
        <f t="shared" si="5"/>
        <v>2800</v>
      </c>
      <c r="F53" s="551">
        <f t="shared" si="3"/>
        <v>2549.9999999999995</v>
      </c>
      <c r="G53" s="552">
        <f t="shared" si="2"/>
        <v>9807789.9999999981</v>
      </c>
    </row>
    <row r="54" spans="1:7" x14ac:dyDescent="0.2">
      <c r="A54" s="455">
        <f t="shared" si="0"/>
        <v>25</v>
      </c>
      <c r="B54" s="455" t="s">
        <v>53</v>
      </c>
      <c r="C54" s="553">
        <f t="shared" si="1"/>
        <v>62469.999999999993</v>
      </c>
      <c r="D54" s="551">
        <f t="shared" si="5"/>
        <v>57119.999999999993</v>
      </c>
      <c r="E54" s="551">
        <f t="shared" si="5"/>
        <v>2800</v>
      </c>
      <c r="F54" s="551">
        <f t="shared" si="3"/>
        <v>2549.9999999999995</v>
      </c>
      <c r="G54" s="552">
        <f t="shared" si="2"/>
        <v>9745319.9999999981</v>
      </c>
    </row>
    <row r="55" spans="1:7" x14ac:dyDescent="0.2">
      <c r="A55" s="455">
        <f t="shared" si="0"/>
        <v>26</v>
      </c>
      <c r="B55" s="455" t="s">
        <v>54</v>
      </c>
      <c r="C55" s="553">
        <f t="shared" si="1"/>
        <v>62469.999999999993</v>
      </c>
      <c r="D55" s="551">
        <f t="shared" si="5"/>
        <v>57119.999999999993</v>
      </c>
      <c r="E55" s="551">
        <f t="shared" si="5"/>
        <v>2800</v>
      </c>
      <c r="F55" s="551">
        <f t="shared" si="3"/>
        <v>2549.9999999999995</v>
      </c>
      <c r="G55" s="552">
        <f t="shared" si="2"/>
        <v>9682849.9999999981</v>
      </c>
    </row>
    <row r="56" spans="1:7" x14ac:dyDescent="0.2">
      <c r="A56" s="455">
        <f t="shared" si="0"/>
        <v>27</v>
      </c>
      <c r="B56" s="455" t="s">
        <v>55</v>
      </c>
      <c r="C56" s="553">
        <f t="shared" si="1"/>
        <v>62469.999999999993</v>
      </c>
      <c r="D56" s="551">
        <f t="shared" si="5"/>
        <v>57119.999999999993</v>
      </c>
      <c r="E56" s="551">
        <f t="shared" si="5"/>
        <v>2800</v>
      </c>
      <c r="F56" s="551">
        <f t="shared" si="3"/>
        <v>2549.9999999999995</v>
      </c>
      <c r="G56" s="552">
        <f t="shared" si="2"/>
        <v>9620379.9999999981</v>
      </c>
    </row>
    <row r="57" spans="1:7" x14ac:dyDescent="0.2">
      <c r="A57" s="455">
        <f t="shared" si="0"/>
        <v>28</v>
      </c>
      <c r="B57" s="455" t="s">
        <v>56</v>
      </c>
      <c r="C57" s="553">
        <f t="shared" si="1"/>
        <v>62469.999999999993</v>
      </c>
      <c r="D57" s="551">
        <f t="shared" si="5"/>
        <v>57119.999999999993</v>
      </c>
      <c r="E57" s="551">
        <f t="shared" si="5"/>
        <v>2800</v>
      </c>
      <c r="F57" s="551">
        <f t="shared" si="3"/>
        <v>2549.9999999999995</v>
      </c>
      <c r="G57" s="552">
        <f t="shared" si="2"/>
        <v>9557909.9999999981</v>
      </c>
    </row>
    <row r="58" spans="1:7" x14ac:dyDescent="0.2">
      <c r="A58" s="455">
        <f t="shared" si="0"/>
        <v>29</v>
      </c>
      <c r="B58" s="455" t="s">
        <v>57</v>
      </c>
      <c r="C58" s="553">
        <f t="shared" si="1"/>
        <v>62469.999999999993</v>
      </c>
      <c r="D58" s="551">
        <f t="shared" si="5"/>
        <v>57119.999999999993</v>
      </c>
      <c r="E58" s="551">
        <f t="shared" si="5"/>
        <v>2800</v>
      </c>
      <c r="F58" s="551">
        <f t="shared" si="3"/>
        <v>2549.9999999999995</v>
      </c>
      <c r="G58" s="552">
        <f t="shared" si="2"/>
        <v>9495439.9999999981</v>
      </c>
    </row>
    <row r="59" spans="1:7" x14ac:dyDescent="0.2">
      <c r="A59" s="455">
        <f t="shared" si="0"/>
        <v>30</v>
      </c>
      <c r="B59" s="455" t="s">
        <v>58</v>
      </c>
      <c r="C59" s="553">
        <f t="shared" si="1"/>
        <v>62469.999999999993</v>
      </c>
      <c r="D59" s="551">
        <f t="shared" si="5"/>
        <v>57119.999999999993</v>
      </c>
      <c r="E59" s="551">
        <f t="shared" si="5"/>
        <v>2800</v>
      </c>
      <c r="F59" s="551">
        <f t="shared" si="3"/>
        <v>2549.9999999999995</v>
      </c>
      <c r="G59" s="552">
        <f t="shared" si="2"/>
        <v>9432969.9999999981</v>
      </c>
    </row>
    <row r="60" spans="1:7" x14ac:dyDescent="0.2">
      <c r="A60" s="455">
        <f t="shared" si="0"/>
        <v>31</v>
      </c>
      <c r="B60" s="455" t="s">
        <v>59</v>
      </c>
      <c r="C60" s="553">
        <f t="shared" si="1"/>
        <v>62469.999999999993</v>
      </c>
      <c r="D60" s="551">
        <f>D59</f>
        <v>57119.999999999993</v>
      </c>
      <c r="E60" s="551">
        <f>E59</f>
        <v>2800</v>
      </c>
      <c r="F60" s="551">
        <f>F59</f>
        <v>2549.9999999999995</v>
      </c>
      <c r="G60" s="552">
        <f t="shared" si="2"/>
        <v>9370499.9999999981</v>
      </c>
    </row>
    <row r="61" spans="1:7" x14ac:dyDescent="0.2">
      <c r="A61" s="455">
        <f t="shared" si="0"/>
        <v>32</v>
      </c>
      <c r="B61" s="455" t="s">
        <v>60</v>
      </c>
      <c r="C61" s="553">
        <f t="shared" si="1"/>
        <v>9370499.9999999981</v>
      </c>
      <c r="D61" s="551">
        <f>D22+D23-SUM(D29:D60)</f>
        <v>8567999.9999999981</v>
      </c>
      <c r="E61" s="551">
        <f>D25-SUM(E29:E60)</f>
        <v>420000</v>
      </c>
      <c r="F61" s="551">
        <f>D24-SUM(F29:F60)</f>
        <v>382499.99999999994</v>
      </c>
      <c r="G61" s="552">
        <f t="shared" si="2"/>
        <v>0</v>
      </c>
    </row>
    <row r="62" spans="1:7" hidden="1" x14ac:dyDescent="0.2">
      <c r="A62" s="455">
        <f t="shared" si="0"/>
        <v>33</v>
      </c>
      <c r="B62" s="455" t="s">
        <v>61</v>
      </c>
      <c r="C62" s="553">
        <f t="shared" si="1"/>
        <v>9370499.9999999981</v>
      </c>
      <c r="D62" s="551">
        <f t="shared" si="5"/>
        <v>8567999.9999999981</v>
      </c>
      <c r="E62" s="551">
        <f t="shared" si="5"/>
        <v>420000</v>
      </c>
      <c r="F62" s="551">
        <f t="shared" si="3"/>
        <v>382499.99999999994</v>
      </c>
      <c r="G62" s="552">
        <f t="shared" si="2"/>
        <v>-9370499.9999999981</v>
      </c>
    </row>
    <row r="63" spans="1:7" hidden="1" x14ac:dyDescent="0.2">
      <c r="A63" s="455">
        <f t="shared" si="0"/>
        <v>34</v>
      </c>
      <c r="B63" s="455" t="s">
        <v>62</v>
      </c>
      <c r="C63" s="553">
        <f t="shared" si="1"/>
        <v>9370499.9999999981</v>
      </c>
      <c r="D63" s="551">
        <f t="shared" si="5"/>
        <v>8567999.9999999981</v>
      </c>
      <c r="E63" s="551">
        <f t="shared" si="5"/>
        <v>420000</v>
      </c>
      <c r="F63" s="551">
        <f t="shared" si="3"/>
        <v>382499.99999999994</v>
      </c>
      <c r="G63" s="552">
        <f t="shared" si="2"/>
        <v>-18740999.999999996</v>
      </c>
    </row>
    <row r="64" spans="1:7" hidden="1" x14ac:dyDescent="0.2">
      <c r="A64" s="455">
        <f t="shared" si="0"/>
        <v>35</v>
      </c>
      <c r="B64" s="455" t="s">
        <v>63</v>
      </c>
      <c r="C64" s="553">
        <f t="shared" si="1"/>
        <v>9370499.9999999981</v>
      </c>
      <c r="D64" s="551">
        <f t="shared" si="5"/>
        <v>8567999.9999999981</v>
      </c>
      <c r="E64" s="551">
        <f t="shared" si="5"/>
        <v>420000</v>
      </c>
      <c r="F64" s="551">
        <f t="shared" si="3"/>
        <v>382499.99999999994</v>
      </c>
      <c r="G64" s="552">
        <f t="shared" si="2"/>
        <v>-28111499.999999993</v>
      </c>
    </row>
    <row r="65" spans="1:7" hidden="1" x14ac:dyDescent="0.2">
      <c r="A65" s="455">
        <f t="shared" si="0"/>
        <v>36</v>
      </c>
      <c r="B65" s="455" t="s">
        <v>64</v>
      </c>
      <c r="C65" s="553">
        <f t="shared" si="1"/>
        <v>9370499.9999999981</v>
      </c>
      <c r="D65" s="551">
        <f t="shared" si="5"/>
        <v>8567999.9999999981</v>
      </c>
      <c r="E65" s="551">
        <f t="shared" si="5"/>
        <v>420000</v>
      </c>
      <c r="F65" s="551">
        <f t="shared" si="3"/>
        <v>382499.99999999994</v>
      </c>
      <c r="G65" s="552">
        <f t="shared" si="2"/>
        <v>-37481999.999999993</v>
      </c>
    </row>
    <row r="66" spans="1:7" hidden="1" x14ac:dyDescent="0.2">
      <c r="A66" s="455">
        <f t="shared" si="0"/>
        <v>37</v>
      </c>
      <c r="B66" s="455" t="s">
        <v>65</v>
      </c>
      <c r="C66" s="553">
        <f t="shared" si="1"/>
        <v>9370499.9999999981</v>
      </c>
      <c r="D66" s="551">
        <f t="shared" ref="D66:E81" si="6">D65</f>
        <v>8567999.9999999981</v>
      </c>
      <c r="E66" s="551">
        <f t="shared" si="6"/>
        <v>420000</v>
      </c>
      <c r="F66" s="551">
        <f t="shared" si="3"/>
        <v>382499.99999999994</v>
      </c>
      <c r="G66" s="552">
        <f t="shared" si="2"/>
        <v>-46852499.999999993</v>
      </c>
    </row>
    <row r="67" spans="1:7" hidden="1" x14ac:dyDescent="0.2">
      <c r="A67" s="455">
        <f t="shared" si="0"/>
        <v>38</v>
      </c>
      <c r="B67" s="455" t="s">
        <v>66</v>
      </c>
      <c r="C67" s="553">
        <f t="shared" si="1"/>
        <v>9370499.9999999981</v>
      </c>
      <c r="D67" s="551">
        <f t="shared" si="6"/>
        <v>8567999.9999999981</v>
      </c>
      <c r="E67" s="551">
        <f t="shared" si="6"/>
        <v>420000</v>
      </c>
      <c r="F67" s="551">
        <f t="shared" si="3"/>
        <v>382499.99999999994</v>
      </c>
      <c r="G67" s="552">
        <f t="shared" si="2"/>
        <v>-56222999.999999993</v>
      </c>
    </row>
    <row r="68" spans="1:7" hidden="1" x14ac:dyDescent="0.2">
      <c r="A68" s="455">
        <f t="shared" si="0"/>
        <v>39</v>
      </c>
      <c r="B68" s="455" t="s">
        <v>67</v>
      </c>
      <c r="C68" s="553">
        <f t="shared" si="1"/>
        <v>9370499.9999999981</v>
      </c>
      <c r="D68" s="551">
        <f t="shared" si="6"/>
        <v>8567999.9999999981</v>
      </c>
      <c r="E68" s="551">
        <f t="shared" si="6"/>
        <v>420000</v>
      </c>
      <c r="F68" s="551">
        <f t="shared" si="3"/>
        <v>382499.99999999994</v>
      </c>
      <c r="G68" s="552">
        <f t="shared" si="2"/>
        <v>-65593499.999999993</v>
      </c>
    </row>
    <row r="69" spans="1:7" hidden="1" x14ac:dyDescent="0.2">
      <c r="A69" s="455">
        <f t="shared" si="0"/>
        <v>40</v>
      </c>
      <c r="B69" s="455" t="s">
        <v>68</v>
      </c>
      <c r="C69" s="553">
        <f t="shared" si="1"/>
        <v>9370499.9999999981</v>
      </c>
      <c r="D69" s="551">
        <f t="shared" si="6"/>
        <v>8567999.9999999981</v>
      </c>
      <c r="E69" s="551">
        <f t="shared" si="6"/>
        <v>420000</v>
      </c>
      <c r="F69" s="551">
        <f t="shared" si="3"/>
        <v>382499.99999999994</v>
      </c>
      <c r="G69" s="552">
        <f t="shared" si="2"/>
        <v>-74963999.999999985</v>
      </c>
    </row>
    <row r="70" spans="1:7" hidden="1" x14ac:dyDescent="0.2">
      <c r="A70" s="455">
        <f t="shared" si="0"/>
        <v>41</v>
      </c>
      <c r="B70" s="455" t="s">
        <v>69</v>
      </c>
      <c r="C70" s="553">
        <f t="shared" si="1"/>
        <v>9370499.9999999981</v>
      </c>
      <c r="D70" s="551">
        <f t="shared" si="6"/>
        <v>8567999.9999999981</v>
      </c>
      <c r="E70" s="551">
        <f t="shared" si="6"/>
        <v>420000</v>
      </c>
      <c r="F70" s="551">
        <f t="shared" si="3"/>
        <v>382499.99999999994</v>
      </c>
      <c r="G70" s="552">
        <f t="shared" si="2"/>
        <v>-84334499.999999985</v>
      </c>
    </row>
    <row r="71" spans="1:7" hidden="1" x14ac:dyDescent="0.2">
      <c r="A71" s="455">
        <f t="shared" si="0"/>
        <v>42</v>
      </c>
      <c r="B71" s="455" t="s">
        <v>70</v>
      </c>
      <c r="C71" s="553">
        <f t="shared" si="1"/>
        <v>9370499.9999999981</v>
      </c>
      <c r="D71" s="551">
        <f t="shared" si="6"/>
        <v>8567999.9999999981</v>
      </c>
      <c r="E71" s="551">
        <f t="shared" si="6"/>
        <v>420000</v>
      </c>
      <c r="F71" s="551">
        <f t="shared" si="3"/>
        <v>382499.99999999994</v>
      </c>
      <c r="G71" s="552">
        <f t="shared" si="2"/>
        <v>-93704999.999999985</v>
      </c>
    </row>
    <row r="72" spans="1:7" hidden="1" x14ac:dyDescent="0.2">
      <c r="A72" s="455">
        <f t="shared" si="0"/>
        <v>43</v>
      </c>
      <c r="B72" s="455" t="s">
        <v>71</v>
      </c>
      <c r="C72" s="553">
        <f t="shared" si="1"/>
        <v>9370499.9999999981</v>
      </c>
      <c r="D72" s="551">
        <f t="shared" si="6"/>
        <v>8567999.9999999981</v>
      </c>
      <c r="E72" s="551">
        <f t="shared" si="6"/>
        <v>420000</v>
      </c>
      <c r="F72" s="551">
        <f t="shared" si="3"/>
        <v>382499.99999999994</v>
      </c>
      <c r="G72" s="552">
        <f t="shared" si="2"/>
        <v>-103075499.99999999</v>
      </c>
    </row>
    <row r="73" spans="1:7" hidden="1" x14ac:dyDescent="0.2">
      <c r="A73" s="455">
        <f t="shared" si="0"/>
        <v>44</v>
      </c>
      <c r="B73" s="455" t="s">
        <v>72</v>
      </c>
      <c r="C73" s="553">
        <f t="shared" si="1"/>
        <v>9370499.9999999981</v>
      </c>
      <c r="D73" s="551">
        <f t="shared" si="6"/>
        <v>8567999.9999999981</v>
      </c>
      <c r="E73" s="551">
        <f t="shared" si="6"/>
        <v>420000</v>
      </c>
      <c r="F73" s="551">
        <f t="shared" si="3"/>
        <v>382499.99999999994</v>
      </c>
      <c r="G73" s="552">
        <f t="shared" si="2"/>
        <v>-112445999.99999999</v>
      </c>
    </row>
    <row r="74" spans="1:7" hidden="1" x14ac:dyDescent="0.2">
      <c r="A74" s="455">
        <f t="shared" si="0"/>
        <v>45</v>
      </c>
      <c r="B74" s="455" t="s">
        <v>73</v>
      </c>
      <c r="C74" s="553">
        <f t="shared" si="1"/>
        <v>9370499.9999999981</v>
      </c>
      <c r="D74" s="551">
        <f t="shared" si="6"/>
        <v>8567999.9999999981</v>
      </c>
      <c r="E74" s="551">
        <f t="shared" si="6"/>
        <v>420000</v>
      </c>
      <c r="F74" s="551">
        <f t="shared" si="3"/>
        <v>382499.99999999994</v>
      </c>
      <c r="G74" s="552">
        <f t="shared" si="2"/>
        <v>-121816499.99999999</v>
      </c>
    </row>
    <row r="75" spans="1:7" hidden="1" x14ac:dyDescent="0.2">
      <c r="A75" s="455">
        <f t="shared" si="0"/>
        <v>46</v>
      </c>
      <c r="B75" s="455" t="s">
        <v>74</v>
      </c>
      <c r="C75" s="553">
        <f t="shared" si="1"/>
        <v>9370499.9999999981</v>
      </c>
      <c r="D75" s="551">
        <f t="shared" si="6"/>
        <v>8567999.9999999981</v>
      </c>
      <c r="E75" s="551">
        <f t="shared" si="6"/>
        <v>420000</v>
      </c>
      <c r="F75" s="551">
        <f t="shared" si="3"/>
        <v>382499.99999999994</v>
      </c>
      <c r="G75" s="552">
        <f t="shared" si="2"/>
        <v>-131186999.99999999</v>
      </c>
    </row>
    <row r="76" spans="1:7" hidden="1" x14ac:dyDescent="0.2">
      <c r="A76" s="455">
        <f t="shared" si="0"/>
        <v>47</v>
      </c>
      <c r="B76" s="455" t="s">
        <v>75</v>
      </c>
      <c r="C76" s="553">
        <f t="shared" si="1"/>
        <v>9370499.9999999981</v>
      </c>
      <c r="D76" s="551">
        <f t="shared" si="6"/>
        <v>8567999.9999999981</v>
      </c>
      <c r="E76" s="551">
        <f t="shared" si="6"/>
        <v>420000</v>
      </c>
      <c r="F76" s="551">
        <f t="shared" si="3"/>
        <v>382499.99999999994</v>
      </c>
      <c r="G76" s="552">
        <f t="shared" si="2"/>
        <v>-140557499.99999997</v>
      </c>
    </row>
    <row r="77" spans="1:7" hidden="1" x14ac:dyDescent="0.2">
      <c r="A77" s="455">
        <f t="shared" si="0"/>
        <v>48</v>
      </c>
      <c r="B77" s="455" t="s">
        <v>76</v>
      </c>
      <c r="C77" s="553">
        <f t="shared" si="1"/>
        <v>9370499.9999999981</v>
      </c>
      <c r="D77" s="551">
        <f t="shared" si="6"/>
        <v>8567999.9999999981</v>
      </c>
      <c r="E77" s="551">
        <f t="shared" si="6"/>
        <v>420000</v>
      </c>
      <c r="F77" s="551">
        <f t="shared" si="3"/>
        <v>382499.99999999994</v>
      </c>
      <c r="G77" s="552">
        <f t="shared" si="2"/>
        <v>-149927999.99999997</v>
      </c>
    </row>
    <row r="78" spans="1:7" hidden="1" x14ac:dyDescent="0.2">
      <c r="A78" s="455">
        <f t="shared" si="0"/>
        <v>49</v>
      </c>
      <c r="B78" s="455" t="s">
        <v>77</v>
      </c>
      <c r="C78" s="553">
        <f t="shared" si="1"/>
        <v>9370499.9999999981</v>
      </c>
      <c r="D78" s="551">
        <f t="shared" si="6"/>
        <v>8567999.9999999981</v>
      </c>
      <c r="E78" s="551">
        <f t="shared" si="6"/>
        <v>420000</v>
      </c>
      <c r="F78" s="551">
        <f t="shared" si="3"/>
        <v>382499.99999999994</v>
      </c>
      <c r="G78" s="552">
        <f t="shared" si="2"/>
        <v>-159298499.99999997</v>
      </c>
    </row>
    <row r="79" spans="1:7" hidden="1" x14ac:dyDescent="0.2">
      <c r="A79" s="455">
        <f t="shared" si="0"/>
        <v>50</v>
      </c>
      <c r="B79" s="455" t="s">
        <v>78</v>
      </c>
      <c r="C79" s="553">
        <f t="shared" si="1"/>
        <v>9370499.9999999981</v>
      </c>
      <c r="D79" s="551">
        <f t="shared" si="6"/>
        <v>8567999.9999999981</v>
      </c>
      <c r="E79" s="551">
        <f t="shared" si="6"/>
        <v>420000</v>
      </c>
      <c r="F79" s="551">
        <f t="shared" si="3"/>
        <v>382499.99999999994</v>
      </c>
      <c r="G79" s="552">
        <f t="shared" si="2"/>
        <v>-168668999.99999997</v>
      </c>
    </row>
    <row r="80" spans="1:7" hidden="1" x14ac:dyDescent="0.2">
      <c r="A80" s="455">
        <f t="shared" si="0"/>
        <v>51</v>
      </c>
      <c r="B80" s="455" t="s">
        <v>79</v>
      </c>
      <c r="C80" s="553">
        <f t="shared" si="1"/>
        <v>9370499.9999999981</v>
      </c>
      <c r="D80" s="551">
        <f t="shared" si="6"/>
        <v>8567999.9999999981</v>
      </c>
      <c r="E80" s="551">
        <f t="shared" si="6"/>
        <v>420000</v>
      </c>
      <c r="F80" s="551">
        <f t="shared" si="3"/>
        <v>382499.99999999994</v>
      </c>
      <c r="G80" s="552">
        <f t="shared" si="2"/>
        <v>-178039499.99999997</v>
      </c>
    </row>
    <row r="81" spans="1:8" hidden="1" x14ac:dyDescent="0.2">
      <c r="A81" s="455">
        <f t="shared" si="0"/>
        <v>52</v>
      </c>
      <c r="B81" s="455" t="s">
        <v>80</v>
      </c>
      <c r="C81" s="553">
        <f t="shared" si="1"/>
        <v>9370499.9999999981</v>
      </c>
      <c r="D81" s="551">
        <f t="shared" si="6"/>
        <v>8567999.9999999981</v>
      </c>
      <c r="E81" s="551">
        <f t="shared" si="6"/>
        <v>420000</v>
      </c>
      <c r="F81" s="551">
        <f t="shared" si="3"/>
        <v>382499.99999999994</v>
      </c>
      <c r="G81" s="552">
        <f t="shared" si="2"/>
        <v>-187409999.99999997</v>
      </c>
    </row>
    <row r="82" spans="1:8" hidden="1" x14ac:dyDescent="0.2">
      <c r="A82" s="455">
        <f t="shared" si="0"/>
        <v>53</v>
      </c>
      <c r="B82" s="455" t="s">
        <v>81</v>
      </c>
      <c r="C82" s="553">
        <f t="shared" si="1"/>
        <v>9370499.9999999981</v>
      </c>
      <c r="D82" s="551">
        <f t="shared" ref="D82:E89" si="7">D81</f>
        <v>8567999.9999999981</v>
      </c>
      <c r="E82" s="551">
        <f t="shared" si="7"/>
        <v>420000</v>
      </c>
      <c r="F82" s="551">
        <f t="shared" si="3"/>
        <v>382499.99999999994</v>
      </c>
      <c r="G82" s="552">
        <f t="shared" si="2"/>
        <v>-196780499.99999997</v>
      </c>
    </row>
    <row r="83" spans="1:8" hidden="1" x14ac:dyDescent="0.2">
      <c r="A83" s="455">
        <f t="shared" si="0"/>
        <v>54</v>
      </c>
      <c r="B83" s="455" t="s">
        <v>82</v>
      </c>
      <c r="C83" s="553">
        <f t="shared" si="1"/>
        <v>9370499.9999999981</v>
      </c>
      <c r="D83" s="551">
        <f t="shared" si="7"/>
        <v>8567999.9999999981</v>
      </c>
      <c r="E83" s="551">
        <f t="shared" si="7"/>
        <v>420000</v>
      </c>
      <c r="F83" s="551">
        <f t="shared" si="3"/>
        <v>382499.99999999994</v>
      </c>
      <c r="G83" s="552">
        <f t="shared" si="2"/>
        <v>-206150999.99999997</v>
      </c>
    </row>
    <row r="84" spans="1:8" hidden="1" x14ac:dyDescent="0.2">
      <c r="A84" s="455">
        <f t="shared" si="0"/>
        <v>55</v>
      </c>
      <c r="B84" s="455" t="s">
        <v>83</v>
      </c>
      <c r="C84" s="553">
        <f t="shared" si="1"/>
        <v>9370499.9999999981</v>
      </c>
      <c r="D84" s="551">
        <f t="shared" si="7"/>
        <v>8567999.9999999981</v>
      </c>
      <c r="E84" s="551">
        <f t="shared" si="7"/>
        <v>420000</v>
      </c>
      <c r="F84" s="551">
        <f t="shared" si="3"/>
        <v>382499.99999999994</v>
      </c>
      <c r="G84" s="552">
        <f t="shared" si="2"/>
        <v>-215521499.99999997</v>
      </c>
    </row>
    <row r="85" spans="1:8" hidden="1" x14ac:dyDescent="0.2">
      <c r="A85" s="455">
        <f t="shared" si="0"/>
        <v>56</v>
      </c>
      <c r="B85" s="455" t="s">
        <v>84</v>
      </c>
      <c r="C85" s="553">
        <f t="shared" si="1"/>
        <v>9370499.9999999981</v>
      </c>
      <c r="D85" s="551">
        <f t="shared" si="7"/>
        <v>8567999.9999999981</v>
      </c>
      <c r="E85" s="551">
        <f t="shared" si="7"/>
        <v>420000</v>
      </c>
      <c r="F85" s="551">
        <f t="shared" si="3"/>
        <v>382499.99999999994</v>
      </c>
      <c r="G85" s="552">
        <f t="shared" si="2"/>
        <v>-224891999.99999997</v>
      </c>
    </row>
    <row r="86" spans="1:8" hidden="1" x14ac:dyDescent="0.2">
      <c r="A86" s="455">
        <f t="shared" si="0"/>
        <v>57</v>
      </c>
      <c r="B86" s="455" t="s">
        <v>85</v>
      </c>
      <c r="C86" s="553">
        <f t="shared" si="1"/>
        <v>9370499.9999999981</v>
      </c>
      <c r="D86" s="551">
        <f t="shared" si="7"/>
        <v>8567999.9999999981</v>
      </c>
      <c r="E86" s="551">
        <f t="shared" si="7"/>
        <v>420000</v>
      </c>
      <c r="F86" s="551">
        <f t="shared" si="3"/>
        <v>382499.99999999994</v>
      </c>
      <c r="G86" s="552">
        <f t="shared" si="2"/>
        <v>-234262499.99999997</v>
      </c>
    </row>
    <row r="87" spans="1:8" hidden="1" x14ac:dyDescent="0.2">
      <c r="A87" s="455">
        <f t="shared" si="0"/>
        <v>58</v>
      </c>
      <c r="B87" s="455" t="s">
        <v>86</v>
      </c>
      <c r="C87" s="553">
        <f t="shared" si="1"/>
        <v>9370499.9999999981</v>
      </c>
      <c r="D87" s="551">
        <f t="shared" si="7"/>
        <v>8567999.9999999981</v>
      </c>
      <c r="E87" s="551">
        <f t="shared" si="7"/>
        <v>420000</v>
      </c>
      <c r="F87" s="551">
        <f t="shared" si="3"/>
        <v>382499.99999999994</v>
      </c>
      <c r="G87" s="552">
        <f t="shared" si="2"/>
        <v>-243632999.99999997</v>
      </c>
    </row>
    <row r="88" spans="1:8" hidden="1" x14ac:dyDescent="0.2">
      <c r="A88" s="455">
        <f t="shared" si="0"/>
        <v>59</v>
      </c>
      <c r="B88" s="455" t="s">
        <v>87</v>
      </c>
      <c r="C88" s="553">
        <f t="shared" si="1"/>
        <v>9370499.9999999981</v>
      </c>
      <c r="D88" s="551">
        <f t="shared" si="7"/>
        <v>8567999.9999999981</v>
      </c>
      <c r="E88" s="551">
        <f t="shared" si="7"/>
        <v>420000</v>
      </c>
      <c r="F88" s="551">
        <f t="shared" si="3"/>
        <v>382499.99999999994</v>
      </c>
      <c r="G88" s="552">
        <f t="shared" si="2"/>
        <v>-253003499.99999997</v>
      </c>
    </row>
    <row r="89" spans="1:8" hidden="1" x14ac:dyDescent="0.2">
      <c r="A89" s="455">
        <f t="shared" si="0"/>
        <v>60</v>
      </c>
      <c r="B89" s="455" t="s">
        <v>88</v>
      </c>
      <c r="C89" s="553">
        <f t="shared" si="1"/>
        <v>9370499.9999999981</v>
      </c>
      <c r="D89" s="551">
        <f t="shared" si="7"/>
        <v>8567999.9999999981</v>
      </c>
      <c r="E89" s="551">
        <f t="shared" si="7"/>
        <v>420000</v>
      </c>
      <c r="F89" s="551">
        <f t="shared" si="3"/>
        <v>382499.99999999994</v>
      </c>
      <c r="G89" s="552">
        <f t="shared" si="2"/>
        <v>-262373999.99999997</v>
      </c>
      <c r="H89" s="520"/>
    </row>
    <row r="90" spans="1:8" hidden="1" x14ac:dyDescent="0.2">
      <c r="A90" s="455">
        <f t="shared" si="0"/>
        <v>61</v>
      </c>
      <c r="B90" s="455" t="s">
        <v>89</v>
      </c>
      <c r="C90" s="553">
        <f t="shared" si="1"/>
        <v>-251281499.99999997</v>
      </c>
      <c r="D90" s="551">
        <f>(D22+D23)-(SUM(D29:D89))</f>
        <v>-239903999.99999997</v>
      </c>
      <c r="E90" s="551">
        <f>D25-(SUM(E29:E89))</f>
        <v>-11760000</v>
      </c>
      <c r="F90" s="551">
        <f t="shared" si="3"/>
        <v>382499.99999999994</v>
      </c>
      <c r="G90" s="552">
        <f t="shared" si="2"/>
        <v>-11092500</v>
      </c>
    </row>
    <row r="91" spans="1:8" x14ac:dyDescent="0.2">
      <c r="A91" s="476"/>
      <c r="B91" s="476"/>
      <c r="C91" s="477"/>
      <c r="D91" s="478"/>
      <c r="E91" s="478"/>
      <c r="F91" s="478"/>
      <c r="G91" s="479"/>
    </row>
    <row r="92" spans="1:8" x14ac:dyDescent="0.2">
      <c r="A92" s="618" t="s">
        <v>113</v>
      </c>
      <c r="B92" s="621"/>
      <c r="C92" s="622"/>
      <c r="D92" s="623"/>
      <c r="E92" s="623"/>
      <c r="F92" s="623"/>
      <c r="G92" s="623"/>
    </row>
    <row r="93" spans="1:8" x14ac:dyDescent="0.2">
      <c r="A93" s="701" t="s">
        <v>531</v>
      </c>
      <c r="B93" s="701"/>
      <c r="C93" s="701"/>
      <c r="D93" s="701"/>
      <c r="E93" s="701"/>
      <c r="F93" s="701"/>
      <c r="G93" s="701"/>
      <c r="H93" s="614"/>
    </row>
    <row r="94" spans="1:8" x14ac:dyDescent="0.2">
      <c r="A94" s="674" t="s">
        <v>610</v>
      </c>
      <c r="B94" s="674"/>
      <c r="C94" s="674"/>
      <c r="D94" s="674"/>
      <c r="E94" s="674"/>
      <c r="F94" s="674"/>
      <c r="G94" s="674"/>
      <c r="H94" s="615"/>
    </row>
    <row r="95" spans="1:8" x14ac:dyDescent="0.2">
      <c r="A95" s="674" t="s">
        <v>532</v>
      </c>
      <c r="B95" s="674"/>
      <c r="C95" s="674"/>
      <c r="D95" s="674"/>
      <c r="E95" s="674"/>
      <c r="F95" s="674"/>
      <c r="G95" s="674"/>
      <c r="H95" s="615"/>
    </row>
    <row r="96" spans="1:8" x14ac:dyDescent="0.2">
      <c r="A96" s="674" t="s">
        <v>533</v>
      </c>
      <c r="B96" s="674"/>
      <c r="C96" s="674"/>
      <c r="D96" s="674"/>
      <c r="E96" s="674"/>
      <c r="F96" s="674"/>
      <c r="G96" s="674"/>
      <c r="H96" s="615"/>
    </row>
    <row r="97" spans="1:8" ht="108" customHeight="1" x14ac:dyDescent="0.2">
      <c r="A97" s="674" t="s">
        <v>684</v>
      </c>
      <c r="B97" s="674"/>
      <c r="C97" s="674"/>
      <c r="D97" s="674"/>
      <c r="E97" s="674"/>
      <c r="F97" s="674"/>
      <c r="G97" s="674"/>
      <c r="H97" s="615"/>
    </row>
    <row r="98" spans="1:8" ht="27" customHeight="1" x14ac:dyDescent="0.2">
      <c r="A98" s="675" t="s">
        <v>683</v>
      </c>
      <c r="B98" s="675"/>
      <c r="C98" s="675"/>
      <c r="D98" s="675"/>
      <c r="E98" s="675"/>
      <c r="F98" s="675"/>
      <c r="G98" s="675"/>
      <c r="H98" s="616"/>
    </row>
    <row r="99" spans="1:8" x14ac:dyDescent="0.2">
      <c r="A99" s="675" t="s">
        <v>685</v>
      </c>
      <c r="B99" s="675"/>
      <c r="C99" s="675"/>
      <c r="D99" s="675"/>
      <c r="E99" s="675"/>
      <c r="F99" s="675"/>
      <c r="G99" s="675"/>
      <c r="H99" s="616"/>
    </row>
    <row r="100" spans="1:8" x14ac:dyDescent="0.2">
      <c r="A100" s="675" t="s">
        <v>686</v>
      </c>
      <c r="B100" s="675"/>
      <c r="C100" s="675"/>
      <c r="D100" s="675"/>
      <c r="E100" s="675"/>
      <c r="F100" s="675"/>
      <c r="G100" s="675"/>
      <c r="H100" s="616"/>
    </row>
    <row r="101" spans="1:8" x14ac:dyDescent="0.2">
      <c r="A101" s="413"/>
      <c r="B101" s="413"/>
      <c r="C101" s="413"/>
      <c r="D101" s="413"/>
      <c r="E101" s="413"/>
      <c r="F101" s="413"/>
      <c r="G101" s="413"/>
      <c r="H101" s="413"/>
    </row>
    <row r="102" spans="1:8" x14ac:dyDescent="0.2">
      <c r="A102" s="620" t="s">
        <v>91</v>
      </c>
    </row>
    <row r="103" spans="1:8" ht="15" customHeight="1" x14ac:dyDescent="0.2"/>
    <row r="104" spans="1:8" ht="15" customHeight="1" x14ac:dyDescent="0.2">
      <c r="A104" s="481"/>
      <c r="B104" s="482"/>
      <c r="F104" s="483"/>
      <c r="G104" s="483"/>
    </row>
    <row r="105" spans="1:8" x14ac:dyDescent="0.2">
      <c r="A105" s="702" t="s">
        <v>422</v>
      </c>
      <c r="B105" s="702"/>
      <c r="E105" s="703" t="s">
        <v>447</v>
      </c>
      <c r="F105" s="703"/>
      <c r="G105" s="703"/>
    </row>
    <row r="106" spans="1:8" x14ac:dyDescent="0.2">
      <c r="A106" s="554"/>
      <c r="B106" s="555"/>
      <c r="C106" s="554"/>
      <c r="D106" s="480"/>
      <c r="E106" s="480"/>
      <c r="F106" s="480"/>
      <c r="G106"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95:G95"/>
    <mergeCell ref="D19:E19"/>
    <mergeCell ref="D20:E20"/>
    <mergeCell ref="D21:E21"/>
    <mergeCell ref="D22:E22"/>
    <mergeCell ref="D23:E23"/>
    <mergeCell ref="D24:E24"/>
    <mergeCell ref="D25:E25"/>
    <mergeCell ref="D26:E26"/>
    <mergeCell ref="I29:J29"/>
    <mergeCell ref="A93:G93"/>
    <mergeCell ref="A94:G94"/>
    <mergeCell ref="A105:B105"/>
    <mergeCell ref="E105:G105"/>
    <mergeCell ref="A96:G96"/>
    <mergeCell ref="A97:G97"/>
    <mergeCell ref="A98:G98"/>
    <mergeCell ref="A99:G99"/>
    <mergeCell ref="A100:G100"/>
  </mergeCells>
  <hyperlinks>
    <hyperlink ref="G6" location="INPUT!A1" display="BACK TO INPUT" xr:uid="{00000000-0004-0000-0B00-000000000000}"/>
  </hyperlinks>
  <printOptions horizontalCentered="1" verticalCentered="1"/>
  <pageMargins left="0.25" right="0.25" top="0.5" bottom="0.5" header="0.3" footer="0.3"/>
  <pageSetup paperSize="195" scale="70" orientation="portrait" horizontalDpi="200" verticalDpi="200" r:id="rId1"/>
  <headerFoot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U106"/>
  <sheetViews>
    <sheetView zoomScale="85" zoomScaleNormal="85" workbookViewId="0"/>
  </sheetViews>
  <sheetFormatPr baseColWidth="10" defaultColWidth="0" defaultRowHeight="15" x14ac:dyDescent="0.2"/>
  <cols>
    <col min="1" max="1" width="34.1640625" style="449" bestFit="1" customWidth="1"/>
    <col min="2" max="2" width="10.33203125" style="467" bestFit="1" customWidth="1"/>
    <col min="3" max="3" width="14" style="449" bestFit="1" customWidth="1"/>
    <col min="4" max="4" width="14" style="448" bestFit="1" customWidth="1"/>
    <col min="5" max="6" width="12.1640625" style="448" bestFit="1" customWidth="1"/>
    <col min="7" max="7" width="16"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ustomWidth="1"/>
    <col min="13" max="13" width="6.1640625" style="449" hidden="1" customWidth="1"/>
    <col min="14" max="14" width="27.1640625" style="449" hidden="1" customWidth="1"/>
    <col min="15" max="18" width="22.5" style="449" hidden="1" customWidth="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B2-L10</v>
      </c>
      <c r="J1" s="450"/>
      <c r="K1" s="466">
        <f>VLOOKUP(I1,'SOLA Pricelist'!B9:P62,13,FALSE)</f>
        <v>11984000</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B2-L10</v>
      </c>
      <c r="C4" s="712"/>
      <c r="D4" s="461"/>
      <c r="E4" s="461"/>
      <c r="I4" s="450"/>
      <c r="J4" s="456" t="s">
        <v>109</v>
      </c>
      <c r="K4" s="457">
        <v>0</v>
      </c>
      <c r="L4" s="450"/>
      <c r="M4" s="453">
        <v>0.02</v>
      </c>
      <c r="S4" s="462"/>
      <c r="T4" s="463" t="s">
        <v>109</v>
      </c>
      <c r="U4" s="464">
        <v>0</v>
      </c>
    </row>
    <row r="5" spans="1:21" x14ac:dyDescent="0.2">
      <c r="A5" s="455" t="str">
        <f>INPUT!C19</f>
        <v>Lot Area (sqm.)</v>
      </c>
      <c r="B5" s="712">
        <f>INPUT!D19</f>
        <v>300</v>
      </c>
      <c r="C5" s="712"/>
      <c r="D5" s="461"/>
      <c r="E5" s="461"/>
      <c r="G5" s="449"/>
      <c r="I5" s="450"/>
      <c r="J5" s="465" t="s">
        <v>596</v>
      </c>
      <c r="K5" s="464">
        <v>300000</v>
      </c>
      <c r="L5" s="450"/>
      <c r="M5" s="453">
        <v>0.03</v>
      </c>
    </row>
    <row r="6" spans="1:21" x14ac:dyDescent="0.2">
      <c r="A6" s="455" t="str">
        <f>INPUT!C20</f>
        <v>Lot Type</v>
      </c>
      <c r="B6" s="712" t="str">
        <f>INPUT!D20</f>
        <v>Parkview</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1.25" customHeight="1" x14ac:dyDescent="0.2">
      <c r="A8" s="562" t="s">
        <v>23</v>
      </c>
      <c r="B8" s="711" t="str">
        <f>INPUT!F20</f>
        <v>10% in 5 mos / 90% in 55 mos</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11424000</v>
      </c>
      <c r="E12" s="714"/>
      <c r="I12" s="484"/>
      <c r="J12" s="450"/>
      <c r="K12" s="466"/>
      <c r="L12" s="450"/>
    </row>
    <row r="13" spans="1:21" s="485" customFormat="1" hidden="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hidden="1" x14ac:dyDescent="0.2">
      <c r="A15" s="454" t="s">
        <v>501</v>
      </c>
      <c r="B15" s="524"/>
      <c r="C15" s="458">
        <v>0</v>
      </c>
      <c r="D15" s="708">
        <f>(D12-D13-D14)*C15</f>
        <v>0</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11424000</v>
      </c>
      <c r="E19" s="707"/>
      <c r="I19" s="498"/>
      <c r="J19" s="486"/>
      <c r="K19" s="488"/>
      <c r="L19" s="487"/>
    </row>
    <row r="20" spans="1:16" s="485" customFormat="1" x14ac:dyDescent="0.2">
      <c r="A20" s="521" t="str">
        <f>IF(INPUT!D22=INPUT!N14,"          Discounted List Price (VAT-EX)","         List Price (VAT-EX)")</f>
        <v xml:space="preserve">         List Price (VAT-EX)</v>
      </c>
      <c r="B20" s="522"/>
      <c r="D20" s="706">
        <f>D19/1.12</f>
        <v>10199999.999999998</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10199999.999999998</v>
      </c>
      <c r="E22" s="707"/>
      <c r="I22" s="499"/>
      <c r="J22" s="487"/>
      <c r="K22" s="488"/>
      <c r="L22" s="487"/>
    </row>
    <row r="23" spans="1:16" s="485" customFormat="1" x14ac:dyDescent="0.2">
      <c r="A23" s="521" t="s">
        <v>607</v>
      </c>
      <c r="B23" s="522"/>
      <c r="C23" s="531">
        <v>0.12</v>
      </c>
      <c r="D23" s="706">
        <f>D22*C23</f>
        <v>1223999.9999999998</v>
      </c>
      <c r="E23" s="706"/>
      <c r="I23" s="487"/>
      <c r="J23" s="487"/>
      <c r="K23" s="488"/>
      <c r="L23" s="487"/>
    </row>
    <row r="24" spans="1:16" x14ac:dyDescent="0.2">
      <c r="A24" s="511" t="s">
        <v>608</v>
      </c>
      <c r="C24" s="532">
        <v>0.05</v>
      </c>
      <c r="D24" s="706">
        <f>D22*C24</f>
        <v>509999.99999999994</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12493999.999999998</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12393999.999999998</v>
      </c>
      <c r="I29" s="706"/>
      <c r="J29" s="706"/>
      <c r="K29" s="508"/>
      <c r="L29" s="509"/>
      <c r="M29" s="510"/>
      <c r="N29" s="511"/>
      <c r="P29" s="491"/>
    </row>
    <row r="30" spans="1:16" x14ac:dyDescent="0.2">
      <c r="A30" s="455">
        <f>A29+1</f>
        <v>1</v>
      </c>
      <c r="B30" s="455" t="s">
        <v>30</v>
      </c>
      <c r="C30" s="553">
        <f>SUM(D30:F30)</f>
        <v>229879.99999999994</v>
      </c>
      <c r="D30" s="551">
        <f>(((D22+D23)*I30-D29)/J30)</f>
        <v>213479.99999999994</v>
      </c>
      <c r="E30" s="551">
        <f>((D25*I30-E29)/J30)</f>
        <v>6200</v>
      </c>
      <c r="F30" s="551">
        <f>(D24*I30)/J30</f>
        <v>10200</v>
      </c>
      <c r="G30" s="552">
        <f>G29-C30</f>
        <v>12164119.999999998</v>
      </c>
      <c r="H30" s="512"/>
      <c r="I30" s="513">
        <v>0.1</v>
      </c>
      <c r="J30" s="450">
        <v>5</v>
      </c>
      <c r="K30" s="510"/>
      <c r="L30" s="510"/>
      <c r="M30" s="510"/>
      <c r="O30" s="502"/>
      <c r="P30" s="496"/>
    </row>
    <row r="31" spans="1:16" s="514" customFormat="1" x14ac:dyDescent="0.2">
      <c r="A31" s="455">
        <f t="shared" ref="A31:A90" si="0">A30+1</f>
        <v>2</v>
      </c>
      <c r="B31" s="455" t="s">
        <v>31</v>
      </c>
      <c r="C31" s="553">
        <f t="shared" ref="C31:C90" si="1">SUM(D31:F31)</f>
        <v>229879.99999999994</v>
      </c>
      <c r="D31" s="551">
        <f t="shared" ref="D31:F32" si="2">D30</f>
        <v>213479.99999999994</v>
      </c>
      <c r="E31" s="551">
        <f t="shared" si="2"/>
        <v>6200</v>
      </c>
      <c r="F31" s="551">
        <f t="shared" si="2"/>
        <v>10200</v>
      </c>
      <c r="G31" s="552">
        <f t="shared" ref="G31:G90" si="3">G30-C31</f>
        <v>11934239.999999998</v>
      </c>
      <c r="I31" s="513">
        <v>0.9</v>
      </c>
      <c r="J31" s="450">
        <v>55</v>
      </c>
      <c r="K31" s="515"/>
      <c r="L31" s="516"/>
      <c r="M31" s="517"/>
      <c r="O31" s="518"/>
    </row>
    <row r="32" spans="1:16" x14ac:dyDescent="0.2">
      <c r="A32" s="455">
        <f t="shared" si="0"/>
        <v>3</v>
      </c>
      <c r="B32" s="455" t="s">
        <v>32</v>
      </c>
      <c r="C32" s="553">
        <f t="shared" si="1"/>
        <v>229879.99999999994</v>
      </c>
      <c r="D32" s="551">
        <f t="shared" si="2"/>
        <v>213479.99999999994</v>
      </c>
      <c r="E32" s="551">
        <f t="shared" si="2"/>
        <v>6200</v>
      </c>
      <c r="F32" s="551">
        <f t="shared" si="2"/>
        <v>10200</v>
      </c>
      <c r="G32" s="552">
        <f t="shared" si="3"/>
        <v>11704359.999999998</v>
      </c>
      <c r="I32" s="561">
        <f>100%-I31-I30</f>
        <v>0</v>
      </c>
      <c r="J32" s="450">
        <v>1</v>
      </c>
    </row>
    <row r="33" spans="1:7" x14ac:dyDescent="0.2">
      <c r="A33" s="455">
        <f t="shared" si="0"/>
        <v>4</v>
      </c>
      <c r="B33" s="455" t="s">
        <v>33</v>
      </c>
      <c r="C33" s="553">
        <f t="shared" si="1"/>
        <v>229879.99999999994</v>
      </c>
      <c r="D33" s="551">
        <f>D32</f>
        <v>213479.99999999994</v>
      </c>
      <c r="E33" s="551">
        <f>E32</f>
        <v>6200</v>
      </c>
      <c r="F33" s="551">
        <f t="shared" ref="F33:F90" si="4">F32</f>
        <v>10200</v>
      </c>
      <c r="G33" s="552">
        <f t="shared" si="3"/>
        <v>11474479.999999998</v>
      </c>
    </row>
    <row r="34" spans="1:7" x14ac:dyDescent="0.2">
      <c r="A34" s="455">
        <f t="shared" si="0"/>
        <v>5</v>
      </c>
      <c r="B34" s="455" t="s">
        <v>34</v>
      </c>
      <c r="C34" s="553">
        <f t="shared" si="1"/>
        <v>229879.99999999994</v>
      </c>
      <c r="D34" s="551">
        <f t="shared" ref="D34:E49" si="5">D33</f>
        <v>213479.99999999994</v>
      </c>
      <c r="E34" s="551">
        <f t="shared" si="5"/>
        <v>6200</v>
      </c>
      <c r="F34" s="551">
        <f t="shared" si="4"/>
        <v>10200</v>
      </c>
      <c r="G34" s="552">
        <f t="shared" si="3"/>
        <v>11244599.999999998</v>
      </c>
    </row>
    <row r="35" spans="1:7" x14ac:dyDescent="0.2">
      <c r="A35" s="455">
        <f t="shared" si="0"/>
        <v>6</v>
      </c>
      <c r="B35" s="455" t="s">
        <v>35</v>
      </c>
      <c r="C35" s="553">
        <f t="shared" si="1"/>
        <v>204447.27272727271</v>
      </c>
      <c r="D35" s="551">
        <f>(((D22+D23)*I31)/J31)</f>
        <v>186938.18181818179</v>
      </c>
      <c r="E35" s="551">
        <f>((D25*I31)/J31)</f>
        <v>9163.636363636364</v>
      </c>
      <c r="F35" s="551">
        <f>(D24*I31)/J31</f>
        <v>8345.4545454545441</v>
      </c>
      <c r="G35" s="552">
        <f t="shared" si="3"/>
        <v>11040152.727272725</v>
      </c>
    </row>
    <row r="36" spans="1:7" x14ac:dyDescent="0.2">
      <c r="A36" s="455">
        <f t="shared" si="0"/>
        <v>7</v>
      </c>
      <c r="B36" s="455" t="s">
        <v>36</v>
      </c>
      <c r="C36" s="553">
        <f t="shared" si="1"/>
        <v>204447.27272727271</v>
      </c>
      <c r="D36" s="551">
        <f t="shared" si="5"/>
        <v>186938.18181818179</v>
      </c>
      <c r="E36" s="551">
        <f t="shared" si="5"/>
        <v>9163.636363636364</v>
      </c>
      <c r="F36" s="551">
        <f t="shared" si="4"/>
        <v>8345.4545454545441</v>
      </c>
      <c r="G36" s="552">
        <f t="shared" si="3"/>
        <v>10835705.454545451</v>
      </c>
    </row>
    <row r="37" spans="1:7" x14ac:dyDescent="0.2">
      <c r="A37" s="455">
        <f t="shared" si="0"/>
        <v>8</v>
      </c>
      <c r="B37" s="455" t="s">
        <v>37</v>
      </c>
      <c r="C37" s="553">
        <f t="shared" si="1"/>
        <v>204447.27272727271</v>
      </c>
      <c r="D37" s="551">
        <f t="shared" si="5"/>
        <v>186938.18181818179</v>
      </c>
      <c r="E37" s="551">
        <f t="shared" si="5"/>
        <v>9163.636363636364</v>
      </c>
      <c r="F37" s="551">
        <f t="shared" si="4"/>
        <v>8345.4545454545441</v>
      </c>
      <c r="G37" s="552">
        <f t="shared" si="3"/>
        <v>10631258.181818178</v>
      </c>
    </row>
    <row r="38" spans="1:7" x14ac:dyDescent="0.2">
      <c r="A38" s="455">
        <f t="shared" si="0"/>
        <v>9</v>
      </c>
      <c r="B38" s="455" t="s">
        <v>38</v>
      </c>
      <c r="C38" s="553">
        <f t="shared" si="1"/>
        <v>204447.27272727271</v>
      </c>
      <c r="D38" s="551">
        <f t="shared" si="5"/>
        <v>186938.18181818179</v>
      </c>
      <c r="E38" s="551">
        <f t="shared" si="5"/>
        <v>9163.636363636364</v>
      </c>
      <c r="F38" s="551">
        <f t="shared" si="4"/>
        <v>8345.4545454545441</v>
      </c>
      <c r="G38" s="552">
        <f t="shared" si="3"/>
        <v>10426810.909090905</v>
      </c>
    </row>
    <row r="39" spans="1:7" x14ac:dyDescent="0.2">
      <c r="A39" s="455">
        <f t="shared" si="0"/>
        <v>10</v>
      </c>
      <c r="B39" s="455" t="s">
        <v>39</v>
      </c>
      <c r="C39" s="553">
        <f t="shared" si="1"/>
        <v>204447.27272727271</v>
      </c>
      <c r="D39" s="551">
        <f t="shared" si="5"/>
        <v>186938.18181818179</v>
      </c>
      <c r="E39" s="551">
        <f t="shared" si="5"/>
        <v>9163.636363636364</v>
      </c>
      <c r="F39" s="551">
        <f t="shared" si="4"/>
        <v>8345.4545454545441</v>
      </c>
      <c r="G39" s="552">
        <f t="shared" si="3"/>
        <v>10222363.636363631</v>
      </c>
    </row>
    <row r="40" spans="1:7" x14ac:dyDescent="0.2">
      <c r="A40" s="455">
        <f t="shared" si="0"/>
        <v>11</v>
      </c>
      <c r="B40" s="455" t="s">
        <v>40</v>
      </c>
      <c r="C40" s="553">
        <f t="shared" si="1"/>
        <v>204447.27272727271</v>
      </c>
      <c r="D40" s="551">
        <f t="shared" si="5"/>
        <v>186938.18181818179</v>
      </c>
      <c r="E40" s="551">
        <f t="shared" si="5"/>
        <v>9163.636363636364</v>
      </c>
      <c r="F40" s="551">
        <f t="shared" si="4"/>
        <v>8345.4545454545441</v>
      </c>
      <c r="G40" s="552">
        <f t="shared" si="3"/>
        <v>10017916.363636358</v>
      </c>
    </row>
    <row r="41" spans="1:7" x14ac:dyDescent="0.2">
      <c r="A41" s="455">
        <f t="shared" si="0"/>
        <v>12</v>
      </c>
      <c r="B41" s="455" t="s">
        <v>41</v>
      </c>
      <c r="C41" s="553">
        <f t="shared" si="1"/>
        <v>204447.27272727271</v>
      </c>
      <c r="D41" s="551">
        <f t="shared" si="5"/>
        <v>186938.18181818179</v>
      </c>
      <c r="E41" s="551">
        <f t="shared" si="5"/>
        <v>9163.636363636364</v>
      </c>
      <c r="F41" s="551">
        <f t="shared" si="4"/>
        <v>8345.4545454545441</v>
      </c>
      <c r="G41" s="552">
        <f t="shared" si="3"/>
        <v>9813469.0909090843</v>
      </c>
    </row>
    <row r="42" spans="1:7" x14ac:dyDescent="0.2">
      <c r="A42" s="455">
        <f t="shared" si="0"/>
        <v>13</v>
      </c>
      <c r="B42" s="455" t="s">
        <v>42</v>
      </c>
      <c r="C42" s="553">
        <f t="shared" si="1"/>
        <v>204447.27272727271</v>
      </c>
      <c r="D42" s="551">
        <f t="shared" si="5"/>
        <v>186938.18181818179</v>
      </c>
      <c r="E42" s="551">
        <f t="shared" si="5"/>
        <v>9163.636363636364</v>
      </c>
      <c r="F42" s="551">
        <f t="shared" si="4"/>
        <v>8345.4545454545441</v>
      </c>
      <c r="G42" s="552">
        <f t="shared" si="3"/>
        <v>9609021.8181818109</v>
      </c>
    </row>
    <row r="43" spans="1:7" x14ac:dyDescent="0.2">
      <c r="A43" s="455">
        <f t="shared" si="0"/>
        <v>14</v>
      </c>
      <c r="B43" s="455" t="s">
        <v>43</v>
      </c>
      <c r="C43" s="553">
        <f t="shared" si="1"/>
        <v>204447.27272727271</v>
      </c>
      <c r="D43" s="551">
        <f t="shared" si="5"/>
        <v>186938.18181818179</v>
      </c>
      <c r="E43" s="551">
        <f t="shared" si="5"/>
        <v>9163.636363636364</v>
      </c>
      <c r="F43" s="551">
        <f t="shared" si="4"/>
        <v>8345.4545454545441</v>
      </c>
      <c r="G43" s="552">
        <f t="shared" si="3"/>
        <v>9404574.5454545375</v>
      </c>
    </row>
    <row r="44" spans="1:7" x14ac:dyDescent="0.2">
      <c r="A44" s="455">
        <f t="shared" si="0"/>
        <v>15</v>
      </c>
      <c r="B44" s="455" t="s">
        <v>44</v>
      </c>
      <c r="C44" s="553">
        <f t="shared" si="1"/>
        <v>204447.27272727271</v>
      </c>
      <c r="D44" s="551">
        <f t="shared" si="5"/>
        <v>186938.18181818179</v>
      </c>
      <c r="E44" s="551">
        <f t="shared" si="5"/>
        <v>9163.636363636364</v>
      </c>
      <c r="F44" s="551">
        <f t="shared" si="4"/>
        <v>8345.4545454545441</v>
      </c>
      <c r="G44" s="552">
        <f t="shared" si="3"/>
        <v>9200127.2727272641</v>
      </c>
    </row>
    <row r="45" spans="1:7" x14ac:dyDescent="0.2">
      <c r="A45" s="455">
        <f t="shared" si="0"/>
        <v>16</v>
      </c>
      <c r="B45" s="455" t="s">
        <v>45</v>
      </c>
      <c r="C45" s="553">
        <f t="shared" si="1"/>
        <v>204447.27272727271</v>
      </c>
      <c r="D45" s="551">
        <f t="shared" si="5"/>
        <v>186938.18181818179</v>
      </c>
      <c r="E45" s="551">
        <f t="shared" si="5"/>
        <v>9163.636363636364</v>
      </c>
      <c r="F45" s="551">
        <f t="shared" si="4"/>
        <v>8345.4545454545441</v>
      </c>
      <c r="G45" s="552">
        <f t="shared" si="3"/>
        <v>8995679.9999999907</v>
      </c>
    </row>
    <row r="46" spans="1:7" x14ac:dyDescent="0.2">
      <c r="A46" s="455">
        <f t="shared" si="0"/>
        <v>17</v>
      </c>
      <c r="B46" s="455" t="s">
        <v>46</v>
      </c>
      <c r="C46" s="553">
        <f t="shared" si="1"/>
        <v>204447.27272727271</v>
      </c>
      <c r="D46" s="551">
        <f t="shared" si="5"/>
        <v>186938.18181818179</v>
      </c>
      <c r="E46" s="551">
        <f t="shared" si="5"/>
        <v>9163.636363636364</v>
      </c>
      <c r="F46" s="551">
        <f t="shared" si="4"/>
        <v>8345.4545454545441</v>
      </c>
      <c r="G46" s="552">
        <f t="shared" si="3"/>
        <v>8791232.7272727173</v>
      </c>
    </row>
    <row r="47" spans="1:7" x14ac:dyDescent="0.2">
      <c r="A47" s="455">
        <f t="shared" si="0"/>
        <v>18</v>
      </c>
      <c r="B47" s="455" t="s">
        <v>47</v>
      </c>
      <c r="C47" s="553">
        <f t="shared" si="1"/>
        <v>204447.27272727271</v>
      </c>
      <c r="D47" s="551">
        <f t="shared" si="5"/>
        <v>186938.18181818179</v>
      </c>
      <c r="E47" s="551">
        <f t="shared" si="5"/>
        <v>9163.636363636364</v>
      </c>
      <c r="F47" s="551">
        <f t="shared" si="4"/>
        <v>8345.4545454545441</v>
      </c>
      <c r="G47" s="552">
        <f t="shared" si="3"/>
        <v>8586785.4545454439</v>
      </c>
    </row>
    <row r="48" spans="1:7" x14ac:dyDescent="0.2">
      <c r="A48" s="455">
        <f t="shared" si="0"/>
        <v>19</v>
      </c>
      <c r="B48" s="455" t="s">
        <v>48</v>
      </c>
      <c r="C48" s="553">
        <f t="shared" si="1"/>
        <v>204447.27272727271</v>
      </c>
      <c r="D48" s="551">
        <f t="shared" si="5"/>
        <v>186938.18181818179</v>
      </c>
      <c r="E48" s="551">
        <f t="shared" si="5"/>
        <v>9163.636363636364</v>
      </c>
      <c r="F48" s="551">
        <f t="shared" si="4"/>
        <v>8345.4545454545441</v>
      </c>
      <c r="G48" s="552">
        <f t="shared" si="3"/>
        <v>8382338.1818181714</v>
      </c>
    </row>
    <row r="49" spans="1:7" x14ac:dyDescent="0.2">
      <c r="A49" s="455">
        <f t="shared" si="0"/>
        <v>20</v>
      </c>
      <c r="B49" s="455" t="s">
        <v>49</v>
      </c>
      <c r="C49" s="553">
        <f t="shared" si="1"/>
        <v>204447.27272727271</v>
      </c>
      <c r="D49" s="551">
        <f t="shared" si="5"/>
        <v>186938.18181818179</v>
      </c>
      <c r="E49" s="551">
        <f t="shared" si="5"/>
        <v>9163.636363636364</v>
      </c>
      <c r="F49" s="551">
        <f t="shared" si="4"/>
        <v>8345.4545454545441</v>
      </c>
      <c r="G49" s="552">
        <f t="shared" si="3"/>
        <v>8177890.9090908989</v>
      </c>
    </row>
    <row r="50" spans="1:7" x14ac:dyDescent="0.2">
      <c r="A50" s="455">
        <f t="shared" si="0"/>
        <v>21</v>
      </c>
      <c r="B50" s="455" t="s">
        <v>50</v>
      </c>
      <c r="C50" s="553">
        <f t="shared" si="1"/>
        <v>204447.27272727271</v>
      </c>
      <c r="D50" s="551">
        <f t="shared" ref="D50:E65" si="6">D49</f>
        <v>186938.18181818179</v>
      </c>
      <c r="E50" s="551">
        <f t="shared" si="6"/>
        <v>9163.636363636364</v>
      </c>
      <c r="F50" s="551">
        <f t="shared" si="4"/>
        <v>8345.4545454545441</v>
      </c>
      <c r="G50" s="552">
        <f t="shared" si="3"/>
        <v>7973443.6363636265</v>
      </c>
    </row>
    <row r="51" spans="1:7" x14ac:dyDescent="0.2">
      <c r="A51" s="455">
        <f t="shared" si="0"/>
        <v>22</v>
      </c>
      <c r="B51" s="455" t="s">
        <v>51</v>
      </c>
      <c r="C51" s="553">
        <f t="shared" si="1"/>
        <v>204447.27272727271</v>
      </c>
      <c r="D51" s="551">
        <f t="shared" si="6"/>
        <v>186938.18181818179</v>
      </c>
      <c r="E51" s="551">
        <f t="shared" si="6"/>
        <v>9163.636363636364</v>
      </c>
      <c r="F51" s="551">
        <f t="shared" si="4"/>
        <v>8345.4545454545441</v>
      </c>
      <c r="G51" s="552">
        <f t="shared" si="3"/>
        <v>7768996.363636354</v>
      </c>
    </row>
    <row r="52" spans="1:7" x14ac:dyDescent="0.2">
      <c r="A52" s="455">
        <f t="shared" si="0"/>
        <v>23</v>
      </c>
      <c r="B52" s="455" t="s">
        <v>52</v>
      </c>
      <c r="C52" s="553">
        <f t="shared" si="1"/>
        <v>204447.27272727271</v>
      </c>
      <c r="D52" s="551">
        <f t="shared" si="6"/>
        <v>186938.18181818179</v>
      </c>
      <c r="E52" s="551">
        <f t="shared" si="6"/>
        <v>9163.636363636364</v>
      </c>
      <c r="F52" s="551">
        <f t="shared" si="4"/>
        <v>8345.4545454545441</v>
      </c>
      <c r="G52" s="552">
        <f t="shared" si="3"/>
        <v>7564549.0909090815</v>
      </c>
    </row>
    <row r="53" spans="1:7" x14ac:dyDescent="0.2">
      <c r="A53" s="455">
        <f t="shared" si="0"/>
        <v>24</v>
      </c>
      <c r="B53" s="455" t="s">
        <v>53</v>
      </c>
      <c r="C53" s="553">
        <f t="shared" si="1"/>
        <v>204447.27272727271</v>
      </c>
      <c r="D53" s="551">
        <f t="shared" si="6"/>
        <v>186938.18181818179</v>
      </c>
      <c r="E53" s="551">
        <f t="shared" si="6"/>
        <v>9163.636363636364</v>
      </c>
      <c r="F53" s="551">
        <f t="shared" si="4"/>
        <v>8345.4545454545441</v>
      </c>
      <c r="G53" s="552">
        <f t="shared" si="3"/>
        <v>7360101.818181809</v>
      </c>
    </row>
    <row r="54" spans="1:7" x14ac:dyDescent="0.2">
      <c r="A54" s="455">
        <f t="shared" si="0"/>
        <v>25</v>
      </c>
      <c r="B54" s="455" t="s">
        <v>54</v>
      </c>
      <c r="C54" s="553">
        <f t="shared" si="1"/>
        <v>204447.27272727271</v>
      </c>
      <c r="D54" s="551">
        <f t="shared" si="6"/>
        <v>186938.18181818179</v>
      </c>
      <c r="E54" s="551">
        <f t="shared" si="6"/>
        <v>9163.636363636364</v>
      </c>
      <c r="F54" s="551">
        <f t="shared" si="4"/>
        <v>8345.4545454545441</v>
      </c>
      <c r="G54" s="552">
        <f t="shared" si="3"/>
        <v>7155654.5454545366</v>
      </c>
    </row>
    <row r="55" spans="1:7" x14ac:dyDescent="0.2">
      <c r="A55" s="455">
        <f t="shared" si="0"/>
        <v>26</v>
      </c>
      <c r="B55" s="455" t="s">
        <v>55</v>
      </c>
      <c r="C55" s="553">
        <f t="shared" si="1"/>
        <v>204447.27272727271</v>
      </c>
      <c r="D55" s="551">
        <f t="shared" si="6"/>
        <v>186938.18181818179</v>
      </c>
      <c r="E55" s="551">
        <f t="shared" si="6"/>
        <v>9163.636363636364</v>
      </c>
      <c r="F55" s="551">
        <f t="shared" si="4"/>
        <v>8345.4545454545441</v>
      </c>
      <c r="G55" s="552">
        <f t="shared" si="3"/>
        <v>6951207.2727272641</v>
      </c>
    </row>
    <row r="56" spans="1:7" x14ac:dyDescent="0.2">
      <c r="A56" s="455">
        <f t="shared" si="0"/>
        <v>27</v>
      </c>
      <c r="B56" s="455" t="s">
        <v>56</v>
      </c>
      <c r="C56" s="553">
        <f t="shared" si="1"/>
        <v>204447.27272727271</v>
      </c>
      <c r="D56" s="551">
        <f t="shared" si="6"/>
        <v>186938.18181818179</v>
      </c>
      <c r="E56" s="551">
        <f t="shared" si="6"/>
        <v>9163.636363636364</v>
      </c>
      <c r="F56" s="551">
        <f t="shared" si="4"/>
        <v>8345.4545454545441</v>
      </c>
      <c r="G56" s="552">
        <f t="shared" si="3"/>
        <v>6746759.9999999916</v>
      </c>
    </row>
    <row r="57" spans="1:7" x14ac:dyDescent="0.2">
      <c r="A57" s="455">
        <f t="shared" si="0"/>
        <v>28</v>
      </c>
      <c r="B57" s="455" t="s">
        <v>57</v>
      </c>
      <c r="C57" s="553">
        <f t="shared" si="1"/>
        <v>204447.27272727271</v>
      </c>
      <c r="D57" s="551">
        <f t="shared" si="6"/>
        <v>186938.18181818179</v>
      </c>
      <c r="E57" s="551">
        <f t="shared" si="6"/>
        <v>9163.636363636364</v>
      </c>
      <c r="F57" s="551">
        <f t="shared" si="4"/>
        <v>8345.4545454545441</v>
      </c>
      <c r="G57" s="552">
        <f t="shared" si="3"/>
        <v>6542312.7272727191</v>
      </c>
    </row>
    <row r="58" spans="1:7" x14ac:dyDescent="0.2">
      <c r="A58" s="455">
        <f t="shared" si="0"/>
        <v>29</v>
      </c>
      <c r="B58" s="455" t="s">
        <v>58</v>
      </c>
      <c r="C58" s="553">
        <f t="shared" si="1"/>
        <v>204447.27272727271</v>
      </c>
      <c r="D58" s="551">
        <f t="shared" si="6"/>
        <v>186938.18181818179</v>
      </c>
      <c r="E58" s="551">
        <f t="shared" si="6"/>
        <v>9163.636363636364</v>
      </c>
      <c r="F58" s="551">
        <f t="shared" si="4"/>
        <v>8345.4545454545441</v>
      </c>
      <c r="G58" s="552">
        <f t="shared" si="3"/>
        <v>6337865.4545454467</v>
      </c>
    </row>
    <row r="59" spans="1:7" x14ac:dyDescent="0.2">
      <c r="A59" s="455">
        <f t="shared" si="0"/>
        <v>30</v>
      </c>
      <c r="B59" s="455" t="s">
        <v>59</v>
      </c>
      <c r="C59" s="553">
        <f t="shared" si="1"/>
        <v>204447.27272727271</v>
      </c>
      <c r="D59" s="551">
        <f t="shared" si="6"/>
        <v>186938.18181818179</v>
      </c>
      <c r="E59" s="551">
        <f t="shared" si="6"/>
        <v>9163.636363636364</v>
      </c>
      <c r="F59" s="551">
        <f t="shared" si="4"/>
        <v>8345.4545454545441</v>
      </c>
      <c r="G59" s="552">
        <f t="shared" si="3"/>
        <v>6133418.1818181742</v>
      </c>
    </row>
    <row r="60" spans="1:7" x14ac:dyDescent="0.2">
      <c r="A60" s="455">
        <f t="shared" si="0"/>
        <v>31</v>
      </c>
      <c r="B60" s="455" t="s">
        <v>60</v>
      </c>
      <c r="C60" s="553">
        <f t="shared" si="1"/>
        <v>204447.27272727271</v>
      </c>
      <c r="D60" s="551">
        <f>D59</f>
        <v>186938.18181818179</v>
      </c>
      <c r="E60" s="551">
        <f>E59</f>
        <v>9163.636363636364</v>
      </c>
      <c r="F60" s="551">
        <f>F59</f>
        <v>8345.4545454545441</v>
      </c>
      <c r="G60" s="552">
        <f t="shared" si="3"/>
        <v>5928970.9090909017</v>
      </c>
    </row>
    <row r="61" spans="1:7" x14ac:dyDescent="0.2">
      <c r="A61" s="455">
        <f t="shared" si="0"/>
        <v>32</v>
      </c>
      <c r="B61" s="455" t="s">
        <v>61</v>
      </c>
      <c r="C61" s="553">
        <f t="shared" si="1"/>
        <v>204447.27272727271</v>
      </c>
      <c r="D61" s="551">
        <f t="shared" si="6"/>
        <v>186938.18181818179</v>
      </c>
      <c r="E61" s="551">
        <f t="shared" si="6"/>
        <v>9163.636363636364</v>
      </c>
      <c r="F61" s="551">
        <f t="shared" si="4"/>
        <v>8345.4545454545441</v>
      </c>
      <c r="G61" s="552">
        <f t="shared" si="3"/>
        <v>5724523.6363636293</v>
      </c>
    </row>
    <row r="62" spans="1:7" x14ac:dyDescent="0.2">
      <c r="A62" s="455">
        <f t="shared" si="0"/>
        <v>33</v>
      </c>
      <c r="B62" s="455" t="s">
        <v>62</v>
      </c>
      <c r="C62" s="553">
        <f t="shared" si="1"/>
        <v>204447.27272727271</v>
      </c>
      <c r="D62" s="551">
        <f t="shared" si="6"/>
        <v>186938.18181818179</v>
      </c>
      <c r="E62" s="551">
        <f t="shared" si="6"/>
        <v>9163.636363636364</v>
      </c>
      <c r="F62" s="551">
        <f t="shared" si="4"/>
        <v>8345.4545454545441</v>
      </c>
      <c r="G62" s="552">
        <f t="shared" si="3"/>
        <v>5520076.3636363568</v>
      </c>
    </row>
    <row r="63" spans="1:7" x14ac:dyDescent="0.2">
      <c r="A63" s="455">
        <f t="shared" si="0"/>
        <v>34</v>
      </c>
      <c r="B63" s="455" t="s">
        <v>63</v>
      </c>
      <c r="C63" s="553">
        <f t="shared" si="1"/>
        <v>204447.27272727271</v>
      </c>
      <c r="D63" s="551">
        <f t="shared" si="6"/>
        <v>186938.18181818179</v>
      </c>
      <c r="E63" s="551">
        <f t="shared" si="6"/>
        <v>9163.636363636364</v>
      </c>
      <c r="F63" s="551">
        <f t="shared" si="4"/>
        <v>8345.4545454545441</v>
      </c>
      <c r="G63" s="552">
        <f t="shared" si="3"/>
        <v>5315629.0909090843</v>
      </c>
    </row>
    <row r="64" spans="1:7" x14ac:dyDescent="0.2">
      <c r="A64" s="455">
        <f t="shared" si="0"/>
        <v>35</v>
      </c>
      <c r="B64" s="455" t="s">
        <v>64</v>
      </c>
      <c r="C64" s="553">
        <f t="shared" si="1"/>
        <v>204447.27272727271</v>
      </c>
      <c r="D64" s="551">
        <f t="shared" si="6"/>
        <v>186938.18181818179</v>
      </c>
      <c r="E64" s="551">
        <f t="shared" si="6"/>
        <v>9163.636363636364</v>
      </c>
      <c r="F64" s="551">
        <f t="shared" si="4"/>
        <v>8345.4545454545441</v>
      </c>
      <c r="G64" s="552">
        <f t="shared" si="3"/>
        <v>5111181.8181818118</v>
      </c>
    </row>
    <row r="65" spans="1:7" x14ac:dyDescent="0.2">
      <c r="A65" s="455">
        <f t="shared" si="0"/>
        <v>36</v>
      </c>
      <c r="B65" s="455" t="s">
        <v>65</v>
      </c>
      <c r="C65" s="553">
        <f t="shared" si="1"/>
        <v>204447.27272727271</v>
      </c>
      <c r="D65" s="551">
        <f t="shared" si="6"/>
        <v>186938.18181818179</v>
      </c>
      <c r="E65" s="551">
        <f t="shared" si="6"/>
        <v>9163.636363636364</v>
      </c>
      <c r="F65" s="551">
        <f t="shared" si="4"/>
        <v>8345.4545454545441</v>
      </c>
      <c r="G65" s="552">
        <f t="shared" si="3"/>
        <v>4906734.5454545394</v>
      </c>
    </row>
    <row r="66" spans="1:7" x14ac:dyDescent="0.2">
      <c r="A66" s="455">
        <f t="shared" si="0"/>
        <v>37</v>
      </c>
      <c r="B66" s="455" t="s">
        <v>66</v>
      </c>
      <c r="C66" s="553">
        <f t="shared" si="1"/>
        <v>204447.27272727271</v>
      </c>
      <c r="D66" s="551">
        <f t="shared" ref="D66:E81" si="7">D65</f>
        <v>186938.18181818179</v>
      </c>
      <c r="E66" s="551">
        <f t="shared" si="7"/>
        <v>9163.636363636364</v>
      </c>
      <c r="F66" s="551">
        <f t="shared" si="4"/>
        <v>8345.4545454545441</v>
      </c>
      <c r="G66" s="552">
        <f t="shared" si="3"/>
        <v>4702287.2727272669</v>
      </c>
    </row>
    <row r="67" spans="1:7" x14ac:dyDescent="0.2">
      <c r="A67" s="455">
        <f t="shared" si="0"/>
        <v>38</v>
      </c>
      <c r="B67" s="455" t="s">
        <v>67</v>
      </c>
      <c r="C67" s="553">
        <f t="shared" si="1"/>
        <v>204447.27272727271</v>
      </c>
      <c r="D67" s="551">
        <f t="shared" si="7"/>
        <v>186938.18181818179</v>
      </c>
      <c r="E67" s="551">
        <f t="shared" si="7"/>
        <v>9163.636363636364</v>
      </c>
      <c r="F67" s="551">
        <f t="shared" si="4"/>
        <v>8345.4545454545441</v>
      </c>
      <c r="G67" s="552">
        <f t="shared" si="3"/>
        <v>4497839.9999999944</v>
      </c>
    </row>
    <row r="68" spans="1:7" x14ac:dyDescent="0.2">
      <c r="A68" s="455">
        <f t="shared" si="0"/>
        <v>39</v>
      </c>
      <c r="B68" s="455" t="s">
        <v>68</v>
      </c>
      <c r="C68" s="553">
        <f t="shared" si="1"/>
        <v>204447.27272727271</v>
      </c>
      <c r="D68" s="551">
        <f t="shared" si="7"/>
        <v>186938.18181818179</v>
      </c>
      <c r="E68" s="551">
        <f t="shared" si="7"/>
        <v>9163.636363636364</v>
      </c>
      <c r="F68" s="551">
        <f t="shared" si="4"/>
        <v>8345.4545454545441</v>
      </c>
      <c r="G68" s="552">
        <f t="shared" si="3"/>
        <v>4293392.7272727219</v>
      </c>
    </row>
    <row r="69" spans="1:7" x14ac:dyDescent="0.2">
      <c r="A69" s="455">
        <f t="shared" si="0"/>
        <v>40</v>
      </c>
      <c r="B69" s="455" t="s">
        <v>69</v>
      </c>
      <c r="C69" s="553">
        <f t="shared" si="1"/>
        <v>204447.27272727271</v>
      </c>
      <c r="D69" s="551">
        <f t="shared" si="7"/>
        <v>186938.18181818179</v>
      </c>
      <c r="E69" s="551">
        <f t="shared" si="7"/>
        <v>9163.636363636364</v>
      </c>
      <c r="F69" s="551">
        <f t="shared" si="4"/>
        <v>8345.4545454545441</v>
      </c>
      <c r="G69" s="552">
        <f t="shared" si="3"/>
        <v>4088945.4545454495</v>
      </c>
    </row>
    <row r="70" spans="1:7" x14ac:dyDescent="0.2">
      <c r="A70" s="455">
        <f t="shared" si="0"/>
        <v>41</v>
      </c>
      <c r="B70" s="455" t="s">
        <v>70</v>
      </c>
      <c r="C70" s="553">
        <f t="shared" si="1"/>
        <v>204447.27272727271</v>
      </c>
      <c r="D70" s="551">
        <f t="shared" si="7"/>
        <v>186938.18181818179</v>
      </c>
      <c r="E70" s="551">
        <f t="shared" si="7"/>
        <v>9163.636363636364</v>
      </c>
      <c r="F70" s="551">
        <f t="shared" si="4"/>
        <v>8345.4545454545441</v>
      </c>
      <c r="G70" s="552">
        <f t="shared" si="3"/>
        <v>3884498.181818177</v>
      </c>
    </row>
    <row r="71" spans="1:7" x14ac:dyDescent="0.2">
      <c r="A71" s="455">
        <f t="shared" si="0"/>
        <v>42</v>
      </c>
      <c r="B71" s="455" t="s">
        <v>71</v>
      </c>
      <c r="C71" s="553">
        <f t="shared" si="1"/>
        <v>204447.27272727271</v>
      </c>
      <c r="D71" s="551">
        <f t="shared" si="7"/>
        <v>186938.18181818179</v>
      </c>
      <c r="E71" s="551">
        <f t="shared" si="7"/>
        <v>9163.636363636364</v>
      </c>
      <c r="F71" s="551">
        <f t="shared" si="4"/>
        <v>8345.4545454545441</v>
      </c>
      <c r="G71" s="552">
        <f t="shared" si="3"/>
        <v>3680050.9090909045</v>
      </c>
    </row>
    <row r="72" spans="1:7" x14ac:dyDescent="0.2">
      <c r="A72" s="455">
        <f t="shared" si="0"/>
        <v>43</v>
      </c>
      <c r="B72" s="455" t="s">
        <v>72</v>
      </c>
      <c r="C72" s="553">
        <f t="shared" si="1"/>
        <v>204447.27272727271</v>
      </c>
      <c r="D72" s="551">
        <f t="shared" si="7"/>
        <v>186938.18181818179</v>
      </c>
      <c r="E72" s="551">
        <f t="shared" si="7"/>
        <v>9163.636363636364</v>
      </c>
      <c r="F72" s="551">
        <f t="shared" si="4"/>
        <v>8345.4545454545441</v>
      </c>
      <c r="G72" s="552">
        <f t="shared" si="3"/>
        <v>3475603.636363632</v>
      </c>
    </row>
    <row r="73" spans="1:7" x14ac:dyDescent="0.2">
      <c r="A73" s="455">
        <f t="shared" si="0"/>
        <v>44</v>
      </c>
      <c r="B73" s="455" t="s">
        <v>73</v>
      </c>
      <c r="C73" s="553">
        <f t="shared" si="1"/>
        <v>204447.27272727271</v>
      </c>
      <c r="D73" s="551">
        <f t="shared" si="7"/>
        <v>186938.18181818179</v>
      </c>
      <c r="E73" s="551">
        <f t="shared" si="7"/>
        <v>9163.636363636364</v>
      </c>
      <c r="F73" s="551">
        <f t="shared" si="4"/>
        <v>8345.4545454545441</v>
      </c>
      <c r="G73" s="552">
        <f t="shared" si="3"/>
        <v>3271156.3636363596</v>
      </c>
    </row>
    <row r="74" spans="1:7" x14ac:dyDescent="0.2">
      <c r="A74" s="455">
        <f t="shared" si="0"/>
        <v>45</v>
      </c>
      <c r="B74" s="455" t="s">
        <v>74</v>
      </c>
      <c r="C74" s="553">
        <f t="shared" si="1"/>
        <v>204447.27272727271</v>
      </c>
      <c r="D74" s="551">
        <f t="shared" si="7"/>
        <v>186938.18181818179</v>
      </c>
      <c r="E74" s="551">
        <f t="shared" si="7"/>
        <v>9163.636363636364</v>
      </c>
      <c r="F74" s="551">
        <f t="shared" si="4"/>
        <v>8345.4545454545441</v>
      </c>
      <c r="G74" s="552">
        <f t="shared" si="3"/>
        <v>3066709.0909090871</v>
      </c>
    </row>
    <row r="75" spans="1:7" x14ac:dyDescent="0.2">
      <c r="A75" s="455">
        <f t="shared" si="0"/>
        <v>46</v>
      </c>
      <c r="B75" s="455" t="s">
        <v>75</v>
      </c>
      <c r="C75" s="553">
        <f t="shared" si="1"/>
        <v>204447.27272727271</v>
      </c>
      <c r="D75" s="551">
        <f t="shared" si="7"/>
        <v>186938.18181818179</v>
      </c>
      <c r="E75" s="551">
        <f t="shared" si="7"/>
        <v>9163.636363636364</v>
      </c>
      <c r="F75" s="551">
        <f t="shared" si="4"/>
        <v>8345.4545454545441</v>
      </c>
      <c r="G75" s="552">
        <f t="shared" si="3"/>
        <v>2862261.8181818146</v>
      </c>
    </row>
    <row r="76" spans="1:7" x14ac:dyDescent="0.2">
      <c r="A76" s="455">
        <f t="shared" si="0"/>
        <v>47</v>
      </c>
      <c r="B76" s="455" t="s">
        <v>76</v>
      </c>
      <c r="C76" s="553">
        <f t="shared" si="1"/>
        <v>204447.27272727271</v>
      </c>
      <c r="D76" s="551">
        <f t="shared" si="7"/>
        <v>186938.18181818179</v>
      </c>
      <c r="E76" s="551">
        <f t="shared" si="7"/>
        <v>9163.636363636364</v>
      </c>
      <c r="F76" s="551">
        <f t="shared" si="4"/>
        <v>8345.4545454545441</v>
      </c>
      <c r="G76" s="552">
        <f t="shared" si="3"/>
        <v>2657814.5454545422</v>
      </c>
    </row>
    <row r="77" spans="1:7" x14ac:dyDescent="0.2">
      <c r="A77" s="455">
        <f t="shared" si="0"/>
        <v>48</v>
      </c>
      <c r="B77" s="455" t="s">
        <v>77</v>
      </c>
      <c r="C77" s="553">
        <f t="shared" si="1"/>
        <v>204447.27272727271</v>
      </c>
      <c r="D77" s="551">
        <f t="shared" si="7"/>
        <v>186938.18181818179</v>
      </c>
      <c r="E77" s="551">
        <f t="shared" si="7"/>
        <v>9163.636363636364</v>
      </c>
      <c r="F77" s="551">
        <f t="shared" si="4"/>
        <v>8345.4545454545441</v>
      </c>
      <c r="G77" s="552">
        <f t="shared" si="3"/>
        <v>2453367.2727272697</v>
      </c>
    </row>
    <row r="78" spans="1:7" x14ac:dyDescent="0.2">
      <c r="A78" s="455">
        <f t="shared" si="0"/>
        <v>49</v>
      </c>
      <c r="B78" s="455" t="s">
        <v>78</v>
      </c>
      <c r="C78" s="553">
        <f t="shared" si="1"/>
        <v>204447.27272727271</v>
      </c>
      <c r="D78" s="551">
        <f t="shared" si="7"/>
        <v>186938.18181818179</v>
      </c>
      <c r="E78" s="551">
        <f t="shared" si="7"/>
        <v>9163.636363636364</v>
      </c>
      <c r="F78" s="551">
        <f t="shared" si="4"/>
        <v>8345.4545454545441</v>
      </c>
      <c r="G78" s="552">
        <f t="shared" si="3"/>
        <v>2248919.9999999972</v>
      </c>
    </row>
    <row r="79" spans="1:7" x14ac:dyDescent="0.2">
      <c r="A79" s="455">
        <f t="shared" si="0"/>
        <v>50</v>
      </c>
      <c r="B79" s="455" t="s">
        <v>79</v>
      </c>
      <c r="C79" s="553">
        <f t="shared" si="1"/>
        <v>204447.27272727271</v>
      </c>
      <c r="D79" s="551">
        <f t="shared" si="7"/>
        <v>186938.18181818179</v>
      </c>
      <c r="E79" s="551">
        <f t="shared" si="7"/>
        <v>9163.636363636364</v>
      </c>
      <c r="F79" s="551">
        <f t="shared" si="4"/>
        <v>8345.4545454545441</v>
      </c>
      <c r="G79" s="552">
        <f t="shared" si="3"/>
        <v>2044472.7272727245</v>
      </c>
    </row>
    <row r="80" spans="1:7" x14ac:dyDescent="0.2">
      <c r="A80" s="455">
        <f t="shared" si="0"/>
        <v>51</v>
      </c>
      <c r="B80" s="455" t="s">
        <v>80</v>
      </c>
      <c r="C80" s="553">
        <f t="shared" si="1"/>
        <v>204447.27272727271</v>
      </c>
      <c r="D80" s="551">
        <f t="shared" si="7"/>
        <v>186938.18181818179</v>
      </c>
      <c r="E80" s="551">
        <f t="shared" si="7"/>
        <v>9163.636363636364</v>
      </c>
      <c r="F80" s="551">
        <f t="shared" si="4"/>
        <v>8345.4545454545441</v>
      </c>
      <c r="G80" s="552">
        <f t="shared" si="3"/>
        <v>1840025.4545454518</v>
      </c>
    </row>
    <row r="81" spans="1:8" x14ac:dyDescent="0.2">
      <c r="A81" s="455">
        <f t="shared" si="0"/>
        <v>52</v>
      </c>
      <c r="B81" s="455" t="s">
        <v>81</v>
      </c>
      <c r="C81" s="553">
        <f t="shared" si="1"/>
        <v>204447.27272727271</v>
      </c>
      <c r="D81" s="551">
        <f t="shared" si="7"/>
        <v>186938.18181818179</v>
      </c>
      <c r="E81" s="551">
        <f t="shared" si="7"/>
        <v>9163.636363636364</v>
      </c>
      <c r="F81" s="551">
        <f t="shared" si="4"/>
        <v>8345.4545454545441</v>
      </c>
      <c r="G81" s="552">
        <f t="shared" si="3"/>
        <v>1635578.1818181791</v>
      </c>
    </row>
    <row r="82" spans="1:8" x14ac:dyDescent="0.2">
      <c r="A82" s="455">
        <f t="shared" si="0"/>
        <v>53</v>
      </c>
      <c r="B82" s="455" t="s">
        <v>82</v>
      </c>
      <c r="C82" s="553">
        <f t="shared" si="1"/>
        <v>204447.27272727271</v>
      </c>
      <c r="D82" s="551">
        <f t="shared" ref="D82:E89" si="8">D81</f>
        <v>186938.18181818179</v>
      </c>
      <c r="E82" s="551">
        <f t="shared" si="8"/>
        <v>9163.636363636364</v>
      </c>
      <c r="F82" s="551">
        <f t="shared" si="4"/>
        <v>8345.4545454545441</v>
      </c>
      <c r="G82" s="552">
        <f t="shared" si="3"/>
        <v>1431130.9090909064</v>
      </c>
    </row>
    <row r="83" spans="1:8" x14ac:dyDescent="0.2">
      <c r="A83" s="455">
        <f t="shared" si="0"/>
        <v>54</v>
      </c>
      <c r="B83" s="455" t="s">
        <v>83</v>
      </c>
      <c r="C83" s="553">
        <f t="shared" si="1"/>
        <v>204447.27272727271</v>
      </c>
      <c r="D83" s="551">
        <f t="shared" si="8"/>
        <v>186938.18181818179</v>
      </c>
      <c r="E83" s="551">
        <f t="shared" si="8"/>
        <v>9163.636363636364</v>
      </c>
      <c r="F83" s="551">
        <f t="shared" si="4"/>
        <v>8345.4545454545441</v>
      </c>
      <c r="G83" s="552">
        <f t="shared" si="3"/>
        <v>1226683.6363636337</v>
      </c>
    </row>
    <row r="84" spans="1:8" x14ac:dyDescent="0.2">
      <c r="A84" s="455">
        <f t="shared" si="0"/>
        <v>55</v>
      </c>
      <c r="B84" s="455" t="s">
        <v>84</v>
      </c>
      <c r="C84" s="553">
        <f t="shared" si="1"/>
        <v>204447.27272727271</v>
      </c>
      <c r="D84" s="551">
        <f t="shared" si="8"/>
        <v>186938.18181818179</v>
      </c>
      <c r="E84" s="551">
        <f t="shared" si="8"/>
        <v>9163.636363636364</v>
      </c>
      <c r="F84" s="551">
        <f t="shared" si="4"/>
        <v>8345.4545454545441</v>
      </c>
      <c r="G84" s="552">
        <f t="shared" si="3"/>
        <v>1022236.363636361</v>
      </c>
    </row>
    <row r="85" spans="1:8" x14ac:dyDescent="0.2">
      <c r="A85" s="455">
        <f t="shared" si="0"/>
        <v>56</v>
      </c>
      <c r="B85" s="455" t="s">
        <v>85</v>
      </c>
      <c r="C85" s="553">
        <f t="shared" si="1"/>
        <v>204447.27272727271</v>
      </c>
      <c r="D85" s="551">
        <f t="shared" si="8"/>
        <v>186938.18181818179</v>
      </c>
      <c r="E85" s="551">
        <f t="shared" si="8"/>
        <v>9163.636363636364</v>
      </c>
      <c r="F85" s="551">
        <f t="shared" si="4"/>
        <v>8345.4545454545441</v>
      </c>
      <c r="G85" s="552">
        <f t="shared" si="3"/>
        <v>817789.09090908826</v>
      </c>
    </row>
    <row r="86" spans="1:8" x14ac:dyDescent="0.2">
      <c r="A86" s="455">
        <f t="shared" si="0"/>
        <v>57</v>
      </c>
      <c r="B86" s="455" t="s">
        <v>86</v>
      </c>
      <c r="C86" s="553">
        <f t="shared" si="1"/>
        <v>204447.27272727271</v>
      </c>
      <c r="D86" s="551">
        <f t="shared" si="8"/>
        <v>186938.18181818179</v>
      </c>
      <c r="E86" s="551">
        <f t="shared" si="8"/>
        <v>9163.636363636364</v>
      </c>
      <c r="F86" s="551">
        <f t="shared" si="4"/>
        <v>8345.4545454545441</v>
      </c>
      <c r="G86" s="552">
        <f t="shared" si="3"/>
        <v>613341.81818181556</v>
      </c>
    </row>
    <row r="87" spans="1:8" x14ac:dyDescent="0.2">
      <c r="A87" s="455">
        <f t="shared" si="0"/>
        <v>58</v>
      </c>
      <c r="B87" s="455" t="s">
        <v>87</v>
      </c>
      <c r="C87" s="553">
        <f t="shared" si="1"/>
        <v>204447.27272727271</v>
      </c>
      <c r="D87" s="551">
        <f t="shared" si="8"/>
        <v>186938.18181818179</v>
      </c>
      <c r="E87" s="551">
        <f t="shared" si="8"/>
        <v>9163.636363636364</v>
      </c>
      <c r="F87" s="551">
        <f t="shared" si="4"/>
        <v>8345.4545454545441</v>
      </c>
      <c r="G87" s="552">
        <f t="shared" si="3"/>
        <v>408894.54545454285</v>
      </c>
    </row>
    <row r="88" spans="1:8" x14ac:dyDescent="0.2">
      <c r="A88" s="455">
        <f t="shared" si="0"/>
        <v>59</v>
      </c>
      <c r="B88" s="455" t="s">
        <v>88</v>
      </c>
      <c r="C88" s="553">
        <f t="shared" si="1"/>
        <v>204447.27272727271</v>
      </c>
      <c r="D88" s="551">
        <f t="shared" si="8"/>
        <v>186938.18181818179</v>
      </c>
      <c r="E88" s="551">
        <f t="shared" si="8"/>
        <v>9163.636363636364</v>
      </c>
      <c r="F88" s="551">
        <f t="shared" si="4"/>
        <v>8345.4545454545441</v>
      </c>
      <c r="G88" s="552">
        <f t="shared" si="3"/>
        <v>204447.27272727014</v>
      </c>
    </row>
    <row r="89" spans="1:8" x14ac:dyDescent="0.2">
      <c r="A89" s="455">
        <f t="shared" si="0"/>
        <v>60</v>
      </c>
      <c r="B89" s="455" t="s">
        <v>89</v>
      </c>
      <c r="C89" s="553">
        <f t="shared" si="1"/>
        <v>204447.27272727271</v>
      </c>
      <c r="D89" s="551">
        <f t="shared" si="8"/>
        <v>186938.18181818179</v>
      </c>
      <c r="E89" s="551">
        <f t="shared" si="8"/>
        <v>9163.636363636364</v>
      </c>
      <c r="F89" s="551">
        <f t="shared" si="4"/>
        <v>8345.4545454545441</v>
      </c>
      <c r="G89" s="552">
        <f t="shared" si="3"/>
        <v>-2.5611370801925659E-9</v>
      </c>
      <c r="H89" s="520"/>
    </row>
    <row r="90" spans="1:8" hidden="1" x14ac:dyDescent="0.2">
      <c r="A90" s="455">
        <f t="shared" si="0"/>
        <v>61</v>
      </c>
      <c r="B90" s="455" t="s">
        <v>611</v>
      </c>
      <c r="C90" s="553">
        <f t="shared" si="1"/>
        <v>8345.4545454545441</v>
      </c>
      <c r="D90" s="551">
        <f>(D22+D23)-(SUM(D29:D89))</f>
        <v>0</v>
      </c>
      <c r="E90" s="551">
        <f>D25-(SUM(E29:E89))</f>
        <v>0</v>
      </c>
      <c r="F90" s="551">
        <f t="shared" si="4"/>
        <v>8345.4545454545441</v>
      </c>
      <c r="G90" s="552">
        <f t="shared" si="3"/>
        <v>-8345.4545454571053</v>
      </c>
    </row>
    <row r="91" spans="1:8" x14ac:dyDescent="0.2">
      <c r="A91" s="476"/>
      <c r="B91" s="476"/>
      <c r="C91" s="477"/>
      <c r="D91" s="478"/>
      <c r="E91" s="478"/>
      <c r="F91" s="478"/>
      <c r="G91" s="479"/>
    </row>
    <row r="92" spans="1:8" x14ac:dyDescent="0.2">
      <c r="A92" s="618" t="s">
        <v>113</v>
      </c>
      <c r="B92" s="621"/>
      <c r="C92" s="622"/>
      <c r="D92" s="623"/>
      <c r="E92" s="623"/>
      <c r="F92" s="623"/>
      <c r="G92" s="623"/>
    </row>
    <row r="93" spans="1:8" x14ac:dyDescent="0.2">
      <c r="A93" s="701" t="s">
        <v>531</v>
      </c>
      <c r="B93" s="701"/>
      <c r="C93" s="701"/>
      <c r="D93" s="701"/>
      <c r="E93" s="701"/>
      <c r="F93" s="701"/>
      <c r="G93" s="701"/>
      <c r="H93" s="614"/>
    </row>
    <row r="94" spans="1:8" x14ac:dyDescent="0.2">
      <c r="A94" s="674" t="s">
        <v>610</v>
      </c>
      <c r="B94" s="674"/>
      <c r="C94" s="674"/>
      <c r="D94" s="674"/>
      <c r="E94" s="674"/>
      <c r="F94" s="674"/>
      <c r="G94" s="674"/>
      <c r="H94" s="615"/>
    </row>
    <row r="95" spans="1:8" x14ac:dyDescent="0.2">
      <c r="A95" s="674" t="s">
        <v>532</v>
      </c>
      <c r="B95" s="674"/>
      <c r="C95" s="674"/>
      <c r="D95" s="674"/>
      <c r="E95" s="674"/>
      <c r="F95" s="674"/>
      <c r="G95" s="674"/>
      <c r="H95" s="615"/>
    </row>
    <row r="96" spans="1:8" x14ac:dyDescent="0.2">
      <c r="A96" s="674" t="s">
        <v>533</v>
      </c>
      <c r="B96" s="674"/>
      <c r="C96" s="674"/>
      <c r="D96" s="674"/>
      <c r="E96" s="674"/>
      <c r="F96" s="674"/>
      <c r="G96" s="674"/>
      <c r="H96" s="615"/>
    </row>
    <row r="97" spans="1:8" ht="108" customHeight="1" x14ac:dyDescent="0.2">
      <c r="A97" s="674" t="s">
        <v>684</v>
      </c>
      <c r="B97" s="674"/>
      <c r="C97" s="674"/>
      <c r="D97" s="674"/>
      <c r="E97" s="674"/>
      <c r="F97" s="674"/>
      <c r="G97" s="674"/>
      <c r="H97" s="615"/>
    </row>
    <row r="98" spans="1:8" ht="27" customHeight="1" x14ac:dyDescent="0.2">
      <c r="A98" s="675" t="s">
        <v>683</v>
      </c>
      <c r="B98" s="675"/>
      <c r="C98" s="675"/>
      <c r="D98" s="675"/>
      <c r="E98" s="675"/>
      <c r="F98" s="675"/>
      <c r="G98" s="675"/>
      <c r="H98" s="616"/>
    </row>
    <row r="99" spans="1:8" x14ac:dyDescent="0.2">
      <c r="A99" s="675" t="s">
        <v>685</v>
      </c>
      <c r="B99" s="675"/>
      <c r="C99" s="675"/>
      <c r="D99" s="675"/>
      <c r="E99" s="675"/>
      <c r="F99" s="675"/>
      <c r="G99" s="675"/>
      <c r="H99" s="616"/>
    </row>
    <row r="100" spans="1:8" x14ac:dyDescent="0.2">
      <c r="A100" s="675" t="s">
        <v>686</v>
      </c>
      <c r="B100" s="675"/>
      <c r="C100" s="675"/>
      <c r="D100" s="675"/>
      <c r="E100" s="675"/>
      <c r="F100" s="675"/>
      <c r="G100" s="675"/>
      <c r="H100" s="616"/>
    </row>
    <row r="101" spans="1:8" x14ac:dyDescent="0.2">
      <c r="A101" s="413"/>
      <c r="B101" s="413"/>
      <c r="C101" s="413"/>
      <c r="D101" s="413"/>
      <c r="E101" s="413"/>
      <c r="F101" s="413"/>
      <c r="G101" s="413"/>
      <c r="H101" s="413"/>
    </row>
    <row r="102" spans="1:8" x14ac:dyDescent="0.2">
      <c r="A102" s="620" t="s">
        <v>91</v>
      </c>
    </row>
    <row r="103" spans="1:8" ht="15" customHeight="1" x14ac:dyDescent="0.2"/>
    <row r="104" spans="1:8" ht="15" customHeight="1" x14ac:dyDescent="0.2">
      <c r="A104" s="481"/>
      <c r="B104" s="482"/>
      <c r="F104" s="483"/>
      <c r="G104" s="483"/>
    </row>
    <row r="105" spans="1:8" x14ac:dyDescent="0.2">
      <c r="A105" s="702" t="s">
        <v>422</v>
      </c>
      <c r="B105" s="702"/>
      <c r="E105" s="703" t="s">
        <v>447</v>
      </c>
      <c r="F105" s="703"/>
      <c r="G105" s="703"/>
    </row>
    <row r="106" spans="1:8" x14ac:dyDescent="0.2">
      <c r="A106" s="554"/>
      <c r="B106" s="555"/>
      <c r="C106" s="554"/>
      <c r="D106" s="480"/>
      <c r="E106" s="480"/>
      <c r="F106" s="480"/>
      <c r="G106"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95:G95"/>
    <mergeCell ref="D19:E19"/>
    <mergeCell ref="D20:E20"/>
    <mergeCell ref="D21:E21"/>
    <mergeCell ref="D22:E22"/>
    <mergeCell ref="D23:E23"/>
    <mergeCell ref="D24:E24"/>
    <mergeCell ref="D25:E25"/>
    <mergeCell ref="D26:E26"/>
    <mergeCell ref="I29:J29"/>
    <mergeCell ref="A93:G93"/>
    <mergeCell ref="A94:G94"/>
    <mergeCell ref="A105:B105"/>
    <mergeCell ref="E105:G105"/>
    <mergeCell ref="A96:G96"/>
    <mergeCell ref="A97:G97"/>
    <mergeCell ref="A98:G98"/>
    <mergeCell ref="A99:G99"/>
    <mergeCell ref="A100:G100"/>
  </mergeCells>
  <hyperlinks>
    <hyperlink ref="G6" location="INPUT!A1" display="BACK TO INPUT" xr:uid="{00000000-0004-0000-0C00-000000000000}"/>
  </hyperlinks>
  <printOptions horizontalCentered="1" verticalCentered="1"/>
  <pageMargins left="0.25" right="0.25" top="0.5" bottom="0.5" header="0.3" footer="0.3"/>
  <pageSetup paperSize="195" scale="88" orientation="portrait" horizontalDpi="200" verticalDpi="200" r:id="rId1"/>
  <headerFooter>
    <oddFooter>Page &amp;P of &amp;N</oddFooter>
  </headerFooter>
  <rowBreaks count="1" manualBreakCount="1">
    <brk id="54" max="6" man="1"/>
  </rowBreaks>
  <ignoredErrors>
    <ignoredError sqref="D35:F35"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U165"/>
  <sheetViews>
    <sheetView zoomScale="85" zoomScaleNormal="85" workbookViewId="0"/>
  </sheetViews>
  <sheetFormatPr baseColWidth="10" defaultColWidth="0" defaultRowHeight="15" x14ac:dyDescent="0.2"/>
  <cols>
    <col min="1" max="1" width="34.1640625" style="449" bestFit="1" customWidth="1"/>
    <col min="2" max="2" width="10.33203125" style="467" customWidth="1"/>
    <col min="3" max="3" width="14" style="449" customWidth="1"/>
    <col min="4" max="4" width="14" style="448" bestFit="1" customWidth="1"/>
    <col min="5" max="6" width="12.1640625" style="448" bestFit="1" customWidth="1"/>
    <col min="7" max="7" width="16"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ol min="13" max="13" width="6.1640625" style="449" hidden="1" customWidth="1"/>
    <col min="14" max="14" width="27.1640625" style="449" hidden="1" customWidth="1"/>
    <col min="15" max="18" width="22.5" style="449" hidden="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B2-L10</v>
      </c>
      <c r="J1" s="450"/>
      <c r="K1" s="466">
        <f>VLOOKUP(I1,'SOLA Pricelist'!B9:P62,13,FALSE)</f>
        <v>11984000</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B2-L10</v>
      </c>
      <c r="C4" s="712"/>
      <c r="D4" s="461"/>
      <c r="E4" s="461"/>
      <c r="I4" s="450"/>
      <c r="J4" s="456" t="s">
        <v>109</v>
      </c>
      <c r="K4" s="457">
        <v>0</v>
      </c>
      <c r="L4" s="450"/>
      <c r="M4" s="453">
        <v>0.02</v>
      </c>
      <c r="S4" s="462"/>
      <c r="T4" s="463" t="s">
        <v>109</v>
      </c>
      <c r="U4" s="464">
        <v>0</v>
      </c>
    </row>
    <row r="5" spans="1:21" x14ac:dyDescent="0.2">
      <c r="A5" s="455" t="str">
        <f>INPUT!C19</f>
        <v>Lot Area (sqm.)</v>
      </c>
      <c r="B5" s="712">
        <f>INPUT!D19</f>
        <v>300</v>
      </c>
      <c r="C5" s="712"/>
      <c r="D5" s="461"/>
      <c r="E5" s="461"/>
      <c r="G5" s="449"/>
      <c r="I5" s="450"/>
      <c r="J5" s="465" t="s">
        <v>596</v>
      </c>
      <c r="K5" s="464">
        <v>300000</v>
      </c>
      <c r="L5" s="450"/>
      <c r="M5" s="453">
        <v>0.03</v>
      </c>
    </row>
    <row r="6" spans="1:21" x14ac:dyDescent="0.2">
      <c r="A6" s="455" t="str">
        <f>INPUT!C20</f>
        <v>Lot Type</v>
      </c>
      <c r="B6" s="712" t="str">
        <f>INPUT!D20</f>
        <v>Parkview</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2" customHeight="1" x14ac:dyDescent="0.2">
      <c r="A8" s="562" t="s">
        <v>23</v>
      </c>
      <c r="B8" s="711" t="str">
        <f>INPUT!G67</f>
        <v>LIMITED TERM (first 5 accounts): 10% in 2 mos. / 90% in 118 mos.</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11424000</v>
      </c>
      <c r="E12" s="714"/>
      <c r="I12" s="484"/>
      <c r="J12" s="450"/>
      <c r="K12" s="466"/>
      <c r="L12" s="450"/>
    </row>
    <row r="13" spans="1:21" s="485" customFormat="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hidden="1" x14ac:dyDescent="0.2">
      <c r="A15" s="454" t="s">
        <v>501</v>
      </c>
      <c r="B15" s="524"/>
      <c r="C15" s="458">
        <v>0</v>
      </c>
      <c r="D15" s="708">
        <f>(D12-D13-D14)*C15</f>
        <v>0</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11424000</v>
      </c>
      <c r="E19" s="707"/>
      <c r="I19" s="498"/>
      <c r="J19" s="486"/>
      <c r="K19" s="488"/>
      <c r="L19" s="487"/>
    </row>
    <row r="20" spans="1:16" s="485" customFormat="1" x14ac:dyDescent="0.2">
      <c r="A20" s="521" t="str">
        <f>IF(INPUT!D22=INPUT!N14,"          Discounted List Price (VAT-EX)","         List Price (VAT-EX)")</f>
        <v xml:space="preserve">         List Price (VAT-EX)</v>
      </c>
      <c r="B20" s="522"/>
      <c r="D20" s="706">
        <f>D19/1.12</f>
        <v>10199999.999999998</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10199999.999999998</v>
      </c>
      <c r="E22" s="707"/>
      <c r="I22" s="499"/>
      <c r="J22" s="487"/>
      <c r="K22" s="488"/>
      <c r="L22" s="487"/>
    </row>
    <row r="23" spans="1:16" s="485" customFormat="1" x14ac:dyDescent="0.2">
      <c r="A23" s="521" t="s">
        <v>607</v>
      </c>
      <c r="B23" s="522"/>
      <c r="C23" s="531">
        <v>0.12</v>
      </c>
      <c r="D23" s="706">
        <f>D22*C23</f>
        <v>1223999.9999999998</v>
      </c>
      <c r="E23" s="706"/>
      <c r="I23" s="487"/>
      <c r="J23" s="487"/>
      <c r="K23" s="488"/>
      <c r="L23" s="487"/>
    </row>
    <row r="24" spans="1:16" x14ac:dyDescent="0.2">
      <c r="A24" s="511" t="s">
        <v>608</v>
      </c>
      <c r="C24" s="532">
        <v>0.05</v>
      </c>
      <c r="D24" s="706">
        <f>D22*C24</f>
        <v>509999.99999999994</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12493999.999999998</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12393999.999999998</v>
      </c>
      <c r="I29" s="706"/>
      <c r="J29" s="706"/>
      <c r="K29" s="508"/>
      <c r="L29" s="509"/>
      <c r="M29" s="510"/>
      <c r="N29" s="511"/>
      <c r="P29" s="491"/>
    </row>
    <row r="30" spans="1:16" x14ac:dyDescent="0.2">
      <c r="A30" s="455">
        <f>A29+1</f>
        <v>1</v>
      </c>
      <c r="B30" s="455" t="s">
        <v>102</v>
      </c>
      <c r="C30" s="553">
        <f>SUM(D30:F30)</f>
        <v>574699.99999999988</v>
      </c>
      <c r="D30" s="551">
        <f>(((D22+D23)*I30-D29)/J30)</f>
        <v>533699.99999999988</v>
      </c>
      <c r="E30" s="551">
        <f>((D25*I30-E29)/J30)</f>
        <v>15500</v>
      </c>
      <c r="F30" s="551">
        <f>(D24*I30)/J30</f>
        <v>25500</v>
      </c>
      <c r="G30" s="552">
        <f>G29-C30</f>
        <v>11819299.999999998</v>
      </c>
      <c r="H30" s="512"/>
      <c r="I30" s="513">
        <v>0.1</v>
      </c>
      <c r="J30" s="450">
        <v>2</v>
      </c>
      <c r="K30" s="510"/>
      <c r="L30" s="510"/>
      <c r="M30" s="510"/>
      <c r="O30" s="502"/>
      <c r="P30" s="496"/>
    </row>
    <row r="31" spans="1:16" s="514" customFormat="1" x14ac:dyDescent="0.2">
      <c r="A31" s="455">
        <f t="shared" ref="A31:A94" si="0">A30+1</f>
        <v>2</v>
      </c>
      <c r="B31" s="455" t="s">
        <v>103</v>
      </c>
      <c r="C31" s="553">
        <f t="shared" ref="C31:C89" si="1">SUM(D31:F31)</f>
        <v>574699.99999999988</v>
      </c>
      <c r="D31" s="551">
        <f>D30</f>
        <v>533699.99999999988</v>
      </c>
      <c r="E31" s="551">
        <f>E30</f>
        <v>15500</v>
      </c>
      <c r="F31" s="551">
        <f>F30</f>
        <v>25500</v>
      </c>
      <c r="G31" s="552">
        <f t="shared" ref="G31:G89" si="2">G30-C31</f>
        <v>11244599.999999998</v>
      </c>
      <c r="I31" s="513">
        <v>0</v>
      </c>
      <c r="J31" s="450">
        <v>0</v>
      </c>
      <c r="K31" s="515"/>
      <c r="L31" s="516"/>
      <c r="M31" s="517"/>
      <c r="O31" s="518"/>
    </row>
    <row r="32" spans="1:16" x14ac:dyDescent="0.2">
      <c r="A32" s="455">
        <f t="shared" si="0"/>
        <v>3</v>
      </c>
      <c r="B32" s="455" t="s">
        <v>30</v>
      </c>
      <c r="C32" s="553">
        <f t="shared" si="1"/>
        <v>95293.220338983039</v>
      </c>
      <c r="D32" s="551">
        <f>((D26-(D25+D24))*I32/J32)</f>
        <v>87132.203389830494</v>
      </c>
      <c r="E32" s="551">
        <f>((D25*I32)/J32)</f>
        <v>4271.1864406779659</v>
      </c>
      <c r="F32" s="551">
        <f>(D24*I32)/J32</f>
        <v>3889.8305084745757</v>
      </c>
      <c r="G32" s="552">
        <f t="shared" si="2"/>
        <v>11149306.779661015</v>
      </c>
      <c r="I32" s="513">
        <f>100%-I31-I30</f>
        <v>0.9</v>
      </c>
      <c r="J32" s="450">
        <v>118</v>
      </c>
    </row>
    <row r="33" spans="1:7" x14ac:dyDescent="0.2">
      <c r="A33" s="455">
        <f t="shared" si="0"/>
        <v>4</v>
      </c>
      <c r="B33" s="455" t="s">
        <v>31</v>
      </c>
      <c r="C33" s="553">
        <f t="shared" si="1"/>
        <v>95293.220338983039</v>
      </c>
      <c r="D33" s="551">
        <f>D32</f>
        <v>87132.203389830494</v>
      </c>
      <c r="E33" s="551">
        <f>E32</f>
        <v>4271.1864406779659</v>
      </c>
      <c r="F33" s="551">
        <f t="shared" ref="F33:F89" si="3">F32</f>
        <v>3889.8305084745757</v>
      </c>
      <c r="G33" s="552">
        <f t="shared" si="2"/>
        <v>11054013.559322031</v>
      </c>
    </row>
    <row r="34" spans="1:7" x14ac:dyDescent="0.2">
      <c r="A34" s="455">
        <f t="shared" si="0"/>
        <v>5</v>
      </c>
      <c r="B34" s="455" t="s">
        <v>32</v>
      </c>
      <c r="C34" s="553">
        <f t="shared" si="1"/>
        <v>95293.220338983039</v>
      </c>
      <c r="D34" s="551">
        <f t="shared" ref="D34:E49" si="4">D33</f>
        <v>87132.203389830494</v>
      </c>
      <c r="E34" s="551">
        <f t="shared" si="4"/>
        <v>4271.1864406779659</v>
      </c>
      <c r="F34" s="551">
        <f t="shared" si="3"/>
        <v>3889.8305084745757</v>
      </c>
      <c r="G34" s="552">
        <f t="shared" si="2"/>
        <v>10958720.338983048</v>
      </c>
    </row>
    <row r="35" spans="1:7" x14ac:dyDescent="0.2">
      <c r="A35" s="455">
        <f t="shared" si="0"/>
        <v>6</v>
      </c>
      <c r="B35" s="455" t="s">
        <v>33</v>
      </c>
      <c r="C35" s="553">
        <f t="shared" si="1"/>
        <v>95293.220338983039</v>
      </c>
      <c r="D35" s="551">
        <f t="shared" si="4"/>
        <v>87132.203389830494</v>
      </c>
      <c r="E35" s="551">
        <f t="shared" si="4"/>
        <v>4271.1864406779659</v>
      </c>
      <c r="F35" s="551">
        <f t="shared" si="3"/>
        <v>3889.8305084745757</v>
      </c>
      <c r="G35" s="552">
        <f t="shared" si="2"/>
        <v>10863427.118644064</v>
      </c>
    </row>
    <row r="36" spans="1:7" x14ac:dyDescent="0.2">
      <c r="A36" s="455">
        <f t="shared" si="0"/>
        <v>7</v>
      </c>
      <c r="B36" s="455" t="s">
        <v>34</v>
      </c>
      <c r="C36" s="553">
        <f t="shared" si="1"/>
        <v>95293.220338983039</v>
      </c>
      <c r="D36" s="551">
        <f t="shared" si="4"/>
        <v>87132.203389830494</v>
      </c>
      <c r="E36" s="551">
        <f t="shared" si="4"/>
        <v>4271.1864406779659</v>
      </c>
      <c r="F36" s="551">
        <f t="shared" si="3"/>
        <v>3889.8305084745757</v>
      </c>
      <c r="G36" s="552">
        <f t="shared" si="2"/>
        <v>10768133.898305081</v>
      </c>
    </row>
    <row r="37" spans="1:7" x14ac:dyDescent="0.2">
      <c r="A37" s="455">
        <f t="shared" si="0"/>
        <v>8</v>
      </c>
      <c r="B37" s="455" t="s">
        <v>35</v>
      </c>
      <c r="C37" s="553">
        <f t="shared" si="1"/>
        <v>95293.220338983039</v>
      </c>
      <c r="D37" s="551">
        <f t="shared" si="4"/>
        <v>87132.203389830494</v>
      </c>
      <c r="E37" s="551">
        <f t="shared" si="4"/>
        <v>4271.1864406779659</v>
      </c>
      <c r="F37" s="551">
        <f t="shared" si="3"/>
        <v>3889.8305084745757</v>
      </c>
      <c r="G37" s="552">
        <f t="shared" si="2"/>
        <v>10672840.677966097</v>
      </c>
    </row>
    <row r="38" spans="1:7" x14ac:dyDescent="0.2">
      <c r="A38" s="455">
        <f t="shared" si="0"/>
        <v>9</v>
      </c>
      <c r="B38" s="455" t="s">
        <v>36</v>
      </c>
      <c r="C38" s="553">
        <f t="shared" si="1"/>
        <v>95293.220338983039</v>
      </c>
      <c r="D38" s="551">
        <f t="shared" si="4"/>
        <v>87132.203389830494</v>
      </c>
      <c r="E38" s="551">
        <f t="shared" si="4"/>
        <v>4271.1864406779659</v>
      </c>
      <c r="F38" s="551">
        <f t="shared" si="3"/>
        <v>3889.8305084745757</v>
      </c>
      <c r="G38" s="552">
        <f t="shared" si="2"/>
        <v>10577547.457627114</v>
      </c>
    </row>
    <row r="39" spans="1:7" x14ac:dyDescent="0.2">
      <c r="A39" s="455">
        <f t="shared" si="0"/>
        <v>10</v>
      </c>
      <c r="B39" s="455" t="s">
        <v>37</v>
      </c>
      <c r="C39" s="553">
        <f t="shared" si="1"/>
        <v>95293.220338983039</v>
      </c>
      <c r="D39" s="551">
        <f t="shared" si="4"/>
        <v>87132.203389830494</v>
      </c>
      <c r="E39" s="551">
        <f t="shared" si="4"/>
        <v>4271.1864406779659</v>
      </c>
      <c r="F39" s="551">
        <f t="shared" si="3"/>
        <v>3889.8305084745757</v>
      </c>
      <c r="G39" s="552">
        <f t="shared" si="2"/>
        <v>10482254.23728813</v>
      </c>
    </row>
    <row r="40" spans="1:7" x14ac:dyDescent="0.2">
      <c r="A40" s="455">
        <f t="shared" si="0"/>
        <v>11</v>
      </c>
      <c r="B40" s="455" t="s">
        <v>38</v>
      </c>
      <c r="C40" s="553">
        <f t="shared" si="1"/>
        <v>95293.220338983039</v>
      </c>
      <c r="D40" s="551">
        <f t="shared" si="4"/>
        <v>87132.203389830494</v>
      </c>
      <c r="E40" s="551">
        <f t="shared" si="4"/>
        <v>4271.1864406779659</v>
      </c>
      <c r="F40" s="551">
        <f t="shared" si="3"/>
        <v>3889.8305084745757</v>
      </c>
      <c r="G40" s="552">
        <f t="shared" si="2"/>
        <v>10386961.016949147</v>
      </c>
    </row>
    <row r="41" spans="1:7" x14ac:dyDescent="0.2">
      <c r="A41" s="455">
        <f t="shared" si="0"/>
        <v>12</v>
      </c>
      <c r="B41" s="455" t="s">
        <v>39</v>
      </c>
      <c r="C41" s="553">
        <f t="shared" si="1"/>
        <v>95293.220338983039</v>
      </c>
      <c r="D41" s="551">
        <f t="shared" si="4"/>
        <v>87132.203389830494</v>
      </c>
      <c r="E41" s="551">
        <f t="shared" si="4"/>
        <v>4271.1864406779659</v>
      </c>
      <c r="F41" s="551">
        <f t="shared" si="3"/>
        <v>3889.8305084745757</v>
      </c>
      <c r="G41" s="552">
        <f t="shared" si="2"/>
        <v>10291667.796610164</v>
      </c>
    </row>
    <row r="42" spans="1:7" x14ac:dyDescent="0.2">
      <c r="A42" s="455">
        <f t="shared" si="0"/>
        <v>13</v>
      </c>
      <c r="B42" s="455" t="s">
        <v>40</v>
      </c>
      <c r="C42" s="553">
        <f t="shared" si="1"/>
        <v>95293.220338983039</v>
      </c>
      <c r="D42" s="551">
        <f t="shared" si="4"/>
        <v>87132.203389830494</v>
      </c>
      <c r="E42" s="551">
        <f t="shared" si="4"/>
        <v>4271.1864406779659</v>
      </c>
      <c r="F42" s="551">
        <f t="shared" si="3"/>
        <v>3889.8305084745757</v>
      </c>
      <c r="G42" s="552">
        <f t="shared" si="2"/>
        <v>10196374.57627118</v>
      </c>
    </row>
    <row r="43" spans="1:7" x14ac:dyDescent="0.2">
      <c r="A43" s="455">
        <f t="shared" si="0"/>
        <v>14</v>
      </c>
      <c r="B43" s="455" t="s">
        <v>41</v>
      </c>
      <c r="C43" s="553">
        <f t="shared" si="1"/>
        <v>95293.220338983039</v>
      </c>
      <c r="D43" s="551">
        <f t="shared" si="4"/>
        <v>87132.203389830494</v>
      </c>
      <c r="E43" s="551">
        <f t="shared" si="4"/>
        <v>4271.1864406779659</v>
      </c>
      <c r="F43" s="551">
        <f t="shared" si="3"/>
        <v>3889.8305084745757</v>
      </c>
      <c r="G43" s="552">
        <f t="shared" si="2"/>
        <v>10101081.355932197</v>
      </c>
    </row>
    <row r="44" spans="1:7" x14ac:dyDescent="0.2">
      <c r="A44" s="455">
        <f t="shared" si="0"/>
        <v>15</v>
      </c>
      <c r="B44" s="455" t="s">
        <v>42</v>
      </c>
      <c r="C44" s="553">
        <f t="shared" si="1"/>
        <v>95293.220338983039</v>
      </c>
      <c r="D44" s="551">
        <f t="shared" si="4"/>
        <v>87132.203389830494</v>
      </c>
      <c r="E44" s="551">
        <f t="shared" si="4"/>
        <v>4271.1864406779659</v>
      </c>
      <c r="F44" s="551">
        <f t="shared" si="3"/>
        <v>3889.8305084745757</v>
      </c>
      <c r="G44" s="552">
        <f t="shared" si="2"/>
        <v>10005788.135593213</v>
      </c>
    </row>
    <row r="45" spans="1:7" x14ac:dyDescent="0.2">
      <c r="A45" s="455">
        <f t="shared" si="0"/>
        <v>16</v>
      </c>
      <c r="B45" s="455" t="s">
        <v>43</v>
      </c>
      <c r="C45" s="553">
        <f t="shared" si="1"/>
        <v>95293.220338983039</v>
      </c>
      <c r="D45" s="551">
        <f t="shared" si="4"/>
        <v>87132.203389830494</v>
      </c>
      <c r="E45" s="551">
        <f t="shared" si="4"/>
        <v>4271.1864406779659</v>
      </c>
      <c r="F45" s="551">
        <f t="shared" si="3"/>
        <v>3889.8305084745757</v>
      </c>
      <c r="G45" s="552">
        <f t="shared" si="2"/>
        <v>9910494.9152542297</v>
      </c>
    </row>
    <row r="46" spans="1:7" x14ac:dyDescent="0.2">
      <c r="A46" s="455">
        <f t="shared" si="0"/>
        <v>17</v>
      </c>
      <c r="B46" s="455" t="s">
        <v>44</v>
      </c>
      <c r="C46" s="553">
        <f t="shared" si="1"/>
        <v>95293.220338983039</v>
      </c>
      <c r="D46" s="551">
        <f t="shared" si="4"/>
        <v>87132.203389830494</v>
      </c>
      <c r="E46" s="551">
        <f t="shared" si="4"/>
        <v>4271.1864406779659</v>
      </c>
      <c r="F46" s="551">
        <f t="shared" si="3"/>
        <v>3889.8305084745757</v>
      </c>
      <c r="G46" s="552">
        <f t="shared" si="2"/>
        <v>9815201.6949152462</v>
      </c>
    </row>
    <row r="47" spans="1:7" x14ac:dyDescent="0.2">
      <c r="A47" s="455">
        <f t="shared" si="0"/>
        <v>18</v>
      </c>
      <c r="B47" s="455" t="s">
        <v>45</v>
      </c>
      <c r="C47" s="553">
        <f t="shared" si="1"/>
        <v>95293.220338983039</v>
      </c>
      <c r="D47" s="551">
        <f t="shared" si="4"/>
        <v>87132.203389830494</v>
      </c>
      <c r="E47" s="551">
        <f t="shared" si="4"/>
        <v>4271.1864406779659</v>
      </c>
      <c r="F47" s="551">
        <f t="shared" si="3"/>
        <v>3889.8305084745757</v>
      </c>
      <c r="G47" s="552">
        <f t="shared" si="2"/>
        <v>9719908.4745762628</v>
      </c>
    </row>
    <row r="48" spans="1:7" x14ac:dyDescent="0.2">
      <c r="A48" s="455">
        <f t="shared" si="0"/>
        <v>19</v>
      </c>
      <c r="B48" s="455" t="s">
        <v>46</v>
      </c>
      <c r="C48" s="553">
        <f t="shared" si="1"/>
        <v>95293.220338983039</v>
      </c>
      <c r="D48" s="551">
        <f t="shared" si="4"/>
        <v>87132.203389830494</v>
      </c>
      <c r="E48" s="551">
        <f t="shared" si="4"/>
        <v>4271.1864406779659</v>
      </c>
      <c r="F48" s="551">
        <f t="shared" si="3"/>
        <v>3889.8305084745757</v>
      </c>
      <c r="G48" s="552">
        <f t="shared" si="2"/>
        <v>9624615.2542372793</v>
      </c>
    </row>
    <row r="49" spans="1:7" x14ac:dyDescent="0.2">
      <c r="A49" s="455">
        <f t="shared" si="0"/>
        <v>20</v>
      </c>
      <c r="B49" s="455" t="s">
        <v>47</v>
      </c>
      <c r="C49" s="553">
        <f t="shared" si="1"/>
        <v>95293.220338983039</v>
      </c>
      <c r="D49" s="551">
        <f t="shared" si="4"/>
        <v>87132.203389830494</v>
      </c>
      <c r="E49" s="551">
        <f t="shared" si="4"/>
        <v>4271.1864406779659</v>
      </c>
      <c r="F49" s="551">
        <f t="shared" si="3"/>
        <v>3889.8305084745757</v>
      </c>
      <c r="G49" s="552">
        <f t="shared" si="2"/>
        <v>9529322.0338982958</v>
      </c>
    </row>
    <row r="50" spans="1:7" x14ac:dyDescent="0.2">
      <c r="A50" s="455">
        <f t="shared" si="0"/>
        <v>21</v>
      </c>
      <c r="B50" s="455" t="s">
        <v>48</v>
      </c>
      <c r="C50" s="553">
        <f t="shared" si="1"/>
        <v>95293.220338983039</v>
      </c>
      <c r="D50" s="551">
        <f t="shared" ref="D50:E65" si="5">D49</f>
        <v>87132.203389830494</v>
      </c>
      <c r="E50" s="551">
        <f t="shared" si="5"/>
        <v>4271.1864406779659</v>
      </c>
      <c r="F50" s="551">
        <f t="shared" si="3"/>
        <v>3889.8305084745757</v>
      </c>
      <c r="G50" s="552">
        <f t="shared" si="2"/>
        <v>9434028.8135593124</v>
      </c>
    </row>
    <row r="51" spans="1:7" x14ac:dyDescent="0.2">
      <c r="A51" s="455">
        <f t="shared" si="0"/>
        <v>22</v>
      </c>
      <c r="B51" s="455" t="s">
        <v>49</v>
      </c>
      <c r="C51" s="553">
        <f t="shared" si="1"/>
        <v>95293.220338983039</v>
      </c>
      <c r="D51" s="551">
        <f t="shared" si="5"/>
        <v>87132.203389830494</v>
      </c>
      <c r="E51" s="551">
        <f t="shared" si="5"/>
        <v>4271.1864406779659</v>
      </c>
      <c r="F51" s="551">
        <f t="shared" si="3"/>
        <v>3889.8305084745757</v>
      </c>
      <c r="G51" s="552">
        <f t="shared" si="2"/>
        <v>9338735.5932203289</v>
      </c>
    </row>
    <row r="52" spans="1:7" x14ac:dyDescent="0.2">
      <c r="A52" s="455">
        <f t="shared" si="0"/>
        <v>23</v>
      </c>
      <c r="B52" s="455" t="s">
        <v>50</v>
      </c>
      <c r="C52" s="553">
        <f t="shared" si="1"/>
        <v>95293.220338983039</v>
      </c>
      <c r="D52" s="551">
        <f t="shared" si="5"/>
        <v>87132.203389830494</v>
      </c>
      <c r="E52" s="551">
        <f t="shared" si="5"/>
        <v>4271.1864406779659</v>
      </c>
      <c r="F52" s="551">
        <f t="shared" si="3"/>
        <v>3889.8305084745757</v>
      </c>
      <c r="G52" s="552">
        <f t="shared" si="2"/>
        <v>9243442.3728813455</v>
      </c>
    </row>
    <row r="53" spans="1:7" x14ac:dyDescent="0.2">
      <c r="A53" s="455">
        <f t="shared" si="0"/>
        <v>24</v>
      </c>
      <c r="B53" s="455" t="s">
        <v>51</v>
      </c>
      <c r="C53" s="553">
        <f t="shared" si="1"/>
        <v>95293.220338983039</v>
      </c>
      <c r="D53" s="551">
        <f t="shared" si="5"/>
        <v>87132.203389830494</v>
      </c>
      <c r="E53" s="551">
        <f t="shared" si="5"/>
        <v>4271.1864406779659</v>
      </c>
      <c r="F53" s="551">
        <f t="shared" si="3"/>
        <v>3889.8305084745757</v>
      </c>
      <c r="G53" s="552">
        <f t="shared" si="2"/>
        <v>9148149.152542362</v>
      </c>
    </row>
    <row r="54" spans="1:7" x14ac:dyDescent="0.2">
      <c r="A54" s="455">
        <f t="shared" si="0"/>
        <v>25</v>
      </c>
      <c r="B54" s="455" t="s">
        <v>52</v>
      </c>
      <c r="C54" s="553">
        <f t="shared" si="1"/>
        <v>95293.220338983039</v>
      </c>
      <c r="D54" s="551">
        <f t="shared" si="5"/>
        <v>87132.203389830494</v>
      </c>
      <c r="E54" s="551">
        <f t="shared" si="5"/>
        <v>4271.1864406779659</v>
      </c>
      <c r="F54" s="551">
        <f t="shared" si="3"/>
        <v>3889.8305084745757</v>
      </c>
      <c r="G54" s="552">
        <f t="shared" si="2"/>
        <v>9052855.9322033785</v>
      </c>
    </row>
    <row r="55" spans="1:7" x14ac:dyDescent="0.2">
      <c r="A55" s="455">
        <f t="shared" si="0"/>
        <v>26</v>
      </c>
      <c r="B55" s="455" t="s">
        <v>53</v>
      </c>
      <c r="C55" s="553">
        <f t="shared" si="1"/>
        <v>95293.220338983039</v>
      </c>
      <c r="D55" s="551">
        <f t="shared" si="5"/>
        <v>87132.203389830494</v>
      </c>
      <c r="E55" s="551">
        <f t="shared" si="5"/>
        <v>4271.1864406779659</v>
      </c>
      <c r="F55" s="551">
        <f t="shared" si="3"/>
        <v>3889.8305084745757</v>
      </c>
      <c r="G55" s="552">
        <f t="shared" si="2"/>
        <v>8957562.7118643951</v>
      </c>
    </row>
    <row r="56" spans="1:7" x14ac:dyDescent="0.2">
      <c r="A56" s="455">
        <f t="shared" si="0"/>
        <v>27</v>
      </c>
      <c r="B56" s="455" t="s">
        <v>54</v>
      </c>
      <c r="C56" s="553">
        <f t="shared" si="1"/>
        <v>95293.220338983039</v>
      </c>
      <c r="D56" s="551">
        <f t="shared" si="5"/>
        <v>87132.203389830494</v>
      </c>
      <c r="E56" s="551">
        <f t="shared" si="5"/>
        <v>4271.1864406779659</v>
      </c>
      <c r="F56" s="551">
        <f t="shared" si="3"/>
        <v>3889.8305084745757</v>
      </c>
      <c r="G56" s="552">
        <f t="shared" si="2"/>
        <v>8862269.4915254116</v>
      </c>
    </row>
    <row r="57" spans="1:7" x14ac:dyDescent="0.2">
      <c r="A57" s="455">
        <f t="shared" si="0"/>
        <v>28</v>
      </c>
      <c r="B57" s="455" t="s">
        <v>55</v>
      </c>
      <c r="C57" s="553">
        <f t="shared" si="1"/>
        <v>95293.220338983039</v>
      </c>
      <c r="D57" s="551">
        <f t="shared" si="5"/>
        <v>87132.203389830494</v>
      </c>
      <c r="E57" s="551">
        <f t="shared" si="5"/>
        <v>4271.1864406779659</v>
      </c>
      <c r="F57" s="551">
        <f t="shared" si="3"/>
        <v>3889.8305084745757</v>
      </c>
      <c r="G57" s="552">
        <f t="shared" si="2"/>
        <v>8766976.2711864281</v>
      </c>
    </row>
    <row r="58" spans="1:7" x14ac:dyDescent="0.2">
      <c r="A58" s="455">
        <f t="shared" si="0"/>
        <v>29</v>
      </c>
      <c r="B58" s="455" t="s">
        <v>56</v>
      </c>
      <c r="C58" s="553">
        <f t="shared" si="1"/>
        <v>95293.220338983039</v>
      </c>
      <c r="D58" s="551">
        <f t="shared" si="5"/>
        <v>87132.203389830494</v>
      </c>
      <c r="E58" s="551">
        <f t="shared" si="5"/>
        <v>4271.1864406779659</v>
      </c>
      <c r="F58" s="551">
        <f t="shared" si="3"/>
        <v>3889.8305084745757</v>
      </c>
      <c r="G58" s="552">
        <f t="shared" si="2"/>
        <v>8671683.0508474447</v>
      </c>
    </row>
    <row r="59" spans="1:7" x14ac:dyDescent="0.2">
      <c r="A59" s="455">
        <f t="shared" si="0"/>
        <v>30</v>
      </c>
      <c r="B59" s="455" t="s">
        <v>57</v>
      </c>
      <c r="C59" s="553">
        <f t="shared" si="1"/>
        <v>95293.220338983039</v>
      </c>
      <c r="D59" s="551">
        <f t="shared" si="5"/>
        <v>87132.203389830494</v>
      </c>
      <c r="E59" s="551">
        <f t="shared" si="5"/>
        <v>4271.1864406779659</v>
      </c>
      <c r="F59" s="551">
        <f t="shared" si="3"/>
        <v>3889.8305084745757</v>
      </c>
      <c r="G59" s="552">
        <f t="shared" si="2"/>
        <v>8576389.8305084612</v>
      </c>
    </row>
    <row r="60" spans="1:7" x14ac:dyDescent="0.2">
      <c r="A60" s="455">
        <f t="shared" si="0"/>
        <v>31</v>
      </c>
      <c r="B60" s="455" t="s">
        <v>58</v>
      </c>
      <c r="C60" s="553">
        <f t="shared" si="1"/>
        <v>95293.220338983039</v>
      </c>
      <c r="D60" s="551">
        <f>D59</f>
        <v>87132.203389830494</v>
      </c>
      <c r="E60" s="551">
        <f>E59</f>
        <v>4271.1864406779659</v>
      </c>
      <c r="F60" s="551">
        <f>F59</f>
        <v>3889.8305084745757</v>
      </c>
      <c r="G60" s="552">
        <f t="shared" si="2"/>
        <v>8481096.6101694778</v>
      </c>
    </row>
    <row r="61" spans="1:7" x14ac:dyDescent="0.2">
      <c r="A61" s="455">
        <f t="shared" si="0"/>
        <v>32</v>
      </c>
      <c r="B61" s="455" t="s">
        <v>59</v>
      </c>
      <c r="C61" s="553">
        <f t="shared" si="1"/>
        <v>95293.220338983039</v>
      </c>
      <c r="D61" s="551">
        <f t="shared" si="5"/>
        <v>87132.203389830494</v>
      </c>
      <c r="E61" s="551">
        <f t="shared" si="5"/>
        <v>4271.1864406779659</v>
      </c>
      <c r="F61" s="551">
        <f t="shared" si="3"/>
        <v>3889.8305084745757</v>
      </c>
      <c r="G61" s="552">
        <f t="shared" si="2"/>
        <v>8385803.3898304943</v>
      </c>
    </row>
    <row r="62" spans="1:7" x14ac:dyDescent="0.2">
      <c r="A62" s="455">
        <f t="shared" si="0"/>
        <v>33</v>
      </c>
      <c r="B62" s="455" t="s">
        <v>60</v>
      </c>
      <c r="C62" s="553">
        <f t="shared" si="1"/>
        <v>95293.220338983039</v>
      </c>
      <c r="D62" s="551">
        <f t="shared" si="5"/>
        <v>87132.203389830494</v>
      </c>
      <c r="E62" s="551">
        <f t="shared" si="5"/>
        <v>4271.1864406779659</v>
      </c>
      <c r="F62" s="551">
        <f t="shared" si="3"/>
        <v>3889.8305084745757</v>
      </c>
      <c r="G62" s="552">
        <f t="shared" si="2"/>
        <v>8290510.1694915108</v>
      </c>
    </row>
    <row r="63" spans="1:7" x14ac:dyDescent="0.2">
      <c r="A63" s="455">
        <f t="shared" si="0"/>
        <v>34</v>
      </c>
      <c r="B63" s="455" t="s">
        <v>61</v>
      </c>
      <c r="C63" s="553">
        <f t="shared" si="1"/>
        <v>95293.220338983039</v>
      </c>
      <c r="D63" s="551">
        <f t="shared" si="5"/>
        <v>87132.203389830494</v>
      </c>
      <c r="E63" s="551">
        <f t="shared" si="5"/>
        <v>4271.1864406779659</v>
      </c>
      <c r="F63" s="551">
        <f t="shared" si="3"/>
        <v>3889.8305084745757</v>
      </c>
      <c r="G63" s="552">
        <f t="shared" si="2"/>
        <v>8195216.9491525274</v>
      </c>
    </row>
    <row r="64" spans="1:7" x14ac:dyDescent="0.2">
      <c r="A64" s="455">
        <f t="shared" si="0"/>
        <v>35</v>
      </c>
      <c r="B64" s="455" t="s">
        <v>62</v>
      </c>
      <c r="C64" s="553">
        <f t="shared" si="1"/>
        <v>95293.220338983039</v>
      </c>
      <c r="D64" s="551">
        <f t="shared" si="5"/>
        <v>87132.203389830494</v>
      </c>
      <c r="E64" s="551">
        <f t="shared" si="5"/>
        <v>4271.1864406779659</v>
      </c>
      <c r="F64" s="551">
        <f t="shared" si="3"/>
        <v>3889.8305084745757</v>
      </c>
      <c r="G64" s="552">
        <f t="shared" si="2"/>
        <v>8099923.7288135439</v>
      </c>
    </row>
    <row r="65" spans="1:7" x14ac:dyDescent="0.2">
      <c r="A65" s="455">
        <f t="shared" si="0"/>
        <v>36</v>
      </c>
      <c r="B65" s="455" t="s">
        <v>63</v>
      </c>
      <c r="C65" s="553">
        <f t="shared" si="1"/>
        <v>95293.220338983039</v>
      </c>
      <c r="D65" s="551">
        <f t="shared" si="5"/>
        <v>87132.203389830494</v>
      </c>
      <c r="E65" s="551">
        <f t="shared" si="5"/>
        <v>4271.1864406779659</v>
      </c>
      <c r="F65" s="551">
        <f t="shared" si="3"/>
        <v>3889.8305084745757</v>
      </c>
      <c r="G65" s="552">
        <f t="shared" si="2"/>
        <v>8004630.5084745605</v>
      </c>
    </row>
    <row r="66" spans="1:7" x14ac:dyDescent="0.2">
      <c r="A66" s="455">
        <f t="shared" si="0"/>
        <v>37</v>
      </c>
      <c r="B66" s="455" t="s">
        <v>64</v>
      </c>
      <c r="C66" s="553">
        <f t="shared" si="1"/>
        <v>95293.220338983039</v>
      </c>
      <c r="D66" s="551">
        <f t="shared" ref="D66:E81" si="6">D65</f>
        <v>87132.203389830494</v>
      </c>
      <c r="E66" s="551">
        <f t="shared" si="6"/>
        <v>4271.1864406779659</v>
      </c>
      <c r="F66" s="551">
        <f t="shared" si="3"/>
        <v>3889.8305084745757</v>
      </c>
      <c r="G66" s="552">
        <f t="shared" si="2"/>
        <v>7909337.288135577</v>
      </c>
    </row>
    <row r="67" spans="1:7" x14ac:dyDescent="0.2">
      <c r="A67" s="455">
        <f t="shared" si="0"/>
        <v>38</v>
      </c>
      <c r="B67" s="455" t="s">
        <v>65</v>
      </c>
      <c r="C67" s="553">
        <f t="shared" si="1"/>
        <v>95293.220338983039</v>
      </c>
      <c r="D67" s="551">
        <f t="shared" si="6"/>
        <v>87132.203389830494</v>
      </c>
      <c r="E67" s="551">
        <f t="shared" si="6"/>
        <v>4271.1864406779659</v>
      </c>
      <c r="F67" s="551">
        <f t="shared" si="3"/>
        <v>3889.8305084745757</v>
      </c>
      <c r="G67" s="552">
        <f t="shared" si="2"/>
        <v>7814044.0677965935</v>
      </c>
    </row>
    <row r="68" spans="1:7" x14ac:dyDescent="0.2">
      <c r="A68" s="455">
        <f t="shared" si="0"/>
        <v>39</v>
      </c>
      <c r="B68" s="455" t="s">
        <v>66</v>
      </c>
      <c r="C68" s="553">
        <f t="shared" si="1"/>
        <v>95293.220338983039</v>
      </c>
      <c r="D68" s="551">
        <f t="shared" si="6"/>
        <v>87132.203389830494</v>
      </c>
      <c r="E68" s="551">
        <f t="shared" si="6"/>
        <v>4271.1864406779659</v>
      </c>
      <c r="F68" s="551">
        <f t="shared" si="3"/>
        <v>3889.8305084745757</v>
      </c>
      <c r="G68" s="552">
        <f t="shared" si="2"/>
        <v>7718750.8474576101</v>
      </c>
    </row>
    <row r="69" spans="1:7" x14ac:dyDescent="0.2">
      <c r="A69" s="455">
        <f t="shared" si="0"/>
        <v>40</v>
      </c>
      <c r="B69" s="455" t="s">
        <v>67</v>
      </c>
      <c r="C69" s="553">
        <f t="shared" si="1"/>
        <v>95293.220338983039</v>
      </c>
      <c r="D69" s="551">
        <f t="shared" si="6"/>
        <v>87132.203389830494</v>
      </c>
      <c r="E69" s="551">
        <f t="shared" si="6"/>
        <v>4271.1864406779659</v>
      </c>
      <c r="F69" s="551">
        <f t="shared" si="3"/>
        <v>3889.8305084745757</v>
      </c>
      <c r="G69" s="552">
        <f t="shared" si="2"/>
        <v>7623457.6271186266</v>
      </c>
    </row>
    <row r="70" spans="1:7" x14ac:dyDescent="0.2">
      <c r="A70" s="455">
        <f t="shared" si="0"/>
        <v>41</v>
      </c>
      <c r="B70" s="455" t="s">
        <v>68</v>
      </c>
      <c r="C70" s="553">
        <f t="shared" si="1"/>
        <v>95293.220338983039</v>
      </c>
      <c r="D70" s="551">
        <f t="shared" si="6"/>
        <v>87132.203389830494</v>
      </c>
      <c r="E70" s="551">
        <f t="shared" si="6"/>
        <v>4271.1864406779659</v>
      </c>
      <c r="F70" s="551">
        <f t="shared" si="3"/>
        <v>3889.8305084745757</v>
      </c>
      <c r="G70" s="552">
        <f t="shared" si="2"/>
        <v>7528164.4067796431</v>
      </c>
    </row>
    <row r="71" spans="1:7" x14ac:dyDescent="0.2">
      <c r="A71" s="455">
        <f t="shared" si="0"/>
        <v>42</v>
      </c>
      <c r="B71" s="455" t="s">
        <v>69</v>
      </c>
      <c r="C71" s="553">
        <f t="shared" si="1"/>
        <v>95293.220338983039</v>
      </c>
      <c r="D71" s="551">
        <f t="shared" si="6"/>
        <v>87132.203389830494</v>
      </c>
      <c r="E71" s="551">
        <f t="shared" si="6"/>
        <v>4271.1864406779659</v>
      </c>
      <c r="F71" s="551">
        <f t="shared" si="3"/>
        <v>3889.8305084745757</v>
      </c>
      <c r="G71" s="552">
        <f t="shared" si="2"/>
        <v>7432871.1864406597</v>
      </c>
    </row>
    <row r="72" spans="1:7" x14ac:dyDescent="0.2">
      <c r="A72" s="455">
        <f t="shared" si="0"/>
        <v>43</v>
      </c>
      <c r="B72" s="455" t="s">
        <v>70</v>
      </c>
      <c r="C72" s="553">
        <f t="shared" si="1"/>
        <v>95293.220338983039</v>
      </c>
      <c r="D72" s="551">
        <f t="shared" si="6"/>
        <v>87132.203389830494</v>
      </c>
      <c r="E72" s="551">
        <f t="shared" si="6"/>
        <v>4271.1864406779659</v>
      </c>
      <c r="F72" s="551">
        <f t="shared" si="3"/>
        <v>3889.8305084745757</v>
      </c>
      <c r="G72" s="552">
        <f t="shared" si="2"/>
        <v>7337577.9661016762</v>
      </c>
    </row>
    <row r="73" spans="1:7" x14ac:dyDescent="0.2">
      <c r="A73" s="455">
        <f t="shared" si="0"/>
        <v>44</v>
      </c>
      <c r="B73" s="455" t="s">
        <v>71</v>
      </c>
      <c r="C73" s="553">
        <f t="shared" si="1"/>
        <v>95293.220338983039</v>
      </c>
      <c r="D73" s="551">
        <f t="shared" si="6"/>
        <v>87132.203389830494</v>
      </c>
      <c r="E73" s="551">
        <f t="shared" si="6"/>
        <v>4271.1864406779659</v>
      </c>
      <c r="F73" s="551">
        <f t="shared" si="3"/>
        <v>3889.8305084745757</v>
      </c>
      <c r="G73" s="552">
        <f t="shared" si="2"/>
        <v>7242284.7457626928</v>
      </c>
    </row>
    <row r="74" spans="1:7" x14ac:dyDescent="0.2">
      <c r="A74" s="455">
        <f t="shared" si="0"/>
        <v>45</v>
      </c>
      <c r="B74" s="455" t="s">
        <v>72</v>
      </c>
      <c r="C74" s="553">
        <f t="shared" si="1"/>
        <v>95293.220338983039</v>
      </c>
      <c r="D74" s="551">
        <f t="shared" si="6"/>
        <v>87132.203389830494</v>
      </c>
      <c r="E74" s="551">
        <f t="shared" si="6"/>
        <v>4271.1864406779659</v>
      </c>
      <c r="F74" s="551">
        <f t="shared" si="3"/>
        <v>3889.8305084745757</v>
      </c>
      <c r="G74" s="552">
        <f t="shared" si="2"/>
        <v>7146991.5254237093</v>
      </c>
    </row>
    <row r="75" spans="1:7" x14ac:dyDescent="0.2">
      <c r="A75" s="455">
        <f t="shared" si="0"/>
        <v>46</v>
      </c>
      <c r="B75" s="455" t="s">
        <v>73</v>
      </c>
      <c r="C75" s="553">
        <f t="shared" si="1"/>
        <v>95293.220338983039</v>
      </c>
      <c r="D75" s="551">
        <f t="shared" si="6"/>
        <v>87132.203389830494</v>
      </c>
      <c r="E75" s="551">
        <f t="shared" si="6"/>
        <v>4271.1864406779659</v>
      </c>
      <c r="F75" s="551">
        <f t="shared" si="3"/>
        <v>3889.8305084745757</v>
      </c>
      <c r="G75" s="552">
        <f t="shared" si="2"/>
        <v>7051698.3050847258</v>
      </c>
    </row>
    <row r="76" spans="1:7" x14ac:dyDescent="0.2">
      <c r="A76" s="455">
        <f t="shared" si="0"/>
        <v>47</v>
      </c>
      <c r="B76" s="455" t="s">
        <v>74</v>
      </c>
      <c r="C76" s="553">
        <f t="shared" si="1"/>
        <v>95293.220338983039</v>
      </c>
      <c r="D76" s="551">
        <f t="shared" si="6"/>
        <v>87132.203389830494</v>
      </c>
      <c r="E76" s="551">
        <f t="shared" si="6"/>
        <v>4271.1864406779659</v>
      </c>
      <c r="F76" s="551">
        <f t="shared" si="3"/>
        <v>3889.8305084745757</v>
      </c>
      <c r="G76" s="552">
        <f t="shared" si="2"/>
        <v>6956405.0847457424</v>
      </c>
    </row>
    <row r="77" spans="1:7" x14ac:dyDescent="0.2">
      <c r="A77" s="455">
        <f t="shared" si="0"/>
        <v>48</v>
      </c>
      <c r="B77" s="455" t="s">
        <v>75</v>
      </c>
      <c r="C77" s="553">
        <f t="shared" si="1"/>
        <v>95293.220338983039</v>
      </c>
      <c r="D77" s="551">
        <f t="shared" si="6"/>
        <v>87132.203389830494</v>
      </c>
      <c r="E77" s="551">
        <f t="shared" si="6"/>
        <v>4271.1864406779659</v>
      </c>
      <c r="F77" s="551">
        <f t="shared" si="3"/>
        <v>3889.8305084745757</v>
      </c>
      <c r="G77" s="552">
        <f t="shared" si="2"/>
        <v>6861111.8644067589</v>
      </c>
    </row>
    <row r="78" spans="1:7" x14ac:dyDescent="0.2">
      <c r="A78" s="455">
        <f t="shared" si="0"/>
        <v>49</v>
      </c>
      <c r="B78" s="455" t="s">
        <v>76</v>
      </c>
      <c r="C78" s="553">
        <f t="shared" si="1"/>
        <v>95293.220338983039</v>
      </c>
      <c r="D78" s="551">
        <f t="shared" si="6"/>
        <v>87132.203389830494</v>
      </c>
      <c r="E78" s="551">
        <f t="shared" si="6"/>
        <v>4271.1864406779659</v>
      </c>
      <c r="F78" s="551">
        <f t="shared" si="3"/>
        <v>3889.8305084745757</v>
      </c>
      <c r="G78" s="552">
        <f t="shared" si="2"/>
        <v>6765818.6440677755</v>
      </c>
    </row>
    <row r="79" spans="1:7" x14ac:dyDescent="0.2">
      <c r="A79" s="455">
        <f t="shared" si="0"/>
        <v>50</v>
      </c>
      <c r="B79" s="455" t="s">
        <v>77</v>
      </c>
      <c r="C79" s="553">
        <f t="shared" si="1"/>
        <v>95293.220338983039</v>
      </c>
      <c r="D79" s="551">
        <f t="shared" si="6"/>
        <v>87132.203389830494</v>
      </c>
      <c r="E79" s="551">
        <f t="shared" si="6"/>
        <v>4271.1864406779659</v>
      </c>
      <c r="F79" s="551">
        <f t="shared" si="3"/>
        <v>3889.8305084745757</v>
      </c>
      <c r="G79" s="552">
        <f t="shared" si="2"/>
        <v>6670525.423728792</v>
      </c>
    </row>
    <row r="80" spans="1:7" x14ac:dyDescent="0.2">
      <c r="A80" s="455">
        <f t="shared" si="0"/>
        <v>51</v>
      </c>
      <c r="B80" s="455" t="s">
        <v>78</v>
      </c>
      <c r="C80" s="553">
        <f t="shared" si="1"/>
        <v>95293.220338983039</v>
      </c>
      <c r="D80" s="551">
        <f t="shared" si="6"/>
        <v>87132.203389830494</v>
      </c>
      <c r="E80" s="551">
        <f t="shared" si="6"/>
        <v>4271.1864406779659</v>
      </c>
      <c r="F80" s="551">
        <f t="shared" si="3"/>
        <v>3889.8305084745757</v>
      </c>
      <c r="G80" s="552">
        <f t="shared" si="2"/>
        <v>6575232.2033898085</v>
      </c>
    </row>
    <row r="81" spans="1:8" x14ac:dyDescent="0.2">
      <c r="A81" s="455">
        <f t="shared" si="0"/>
        <v>52</v>
      </c>
      <c r="B81" s="455" t="s">
        <v>79</v>
      </c>
      <c r="C81" s="553">
        <f t="shared" si="1"/>
        <v>95293.220338983039</v>
      </c>
      <c r="D81" s="551">
        <f t="shared" si="6"/>
        <v>87132.203389830494</v>
      </c>
      <c r="E81" s="551">
        <f t="shared" si="6"/>
        <v>4271.1864406779659</v>
      </c>
      <c r="F81" s="551">
        <f t="shared" si="3"/>
        <v>3889.8305084745757</v>
      </c>
      <c r="G81" s="552">
        <f t="shared" si="2"/>
        <v>6479938.9830508251</v>
      </c>
    </row>
    <row r="82" spans="1:8" x14ac:dyDescent="0.2">
      <c r="A82" s="455">
        <f t="shared" si="0"/>
        <v>53</v>
      </c>
      <c r="B82" s="455" t="s">
        <v>80</v>
      </c>
      <c r="C82" s="553">
        <f t="shared" si="1"/>
        <v>95293.220338983039</v>
      </c>
      <c r="D82" s="551">
        <f t="shared" ref="D82:E89" si="7">D81</f>
        <v>87132.203389830494</v>
      </c>
      <c r="E82" s="551">
        <f t="shared" si="7"/>
        <v>4271.1864406779659</v>
      </c>
      <c r="F82" s="551">
        <f t="shared" si="3"/>
        <v>3889.8305084745757</v>
      </c>
      <c r="G82" s="552">
        <f t="shared" si="2"/>
        <v>6384645.7627118416</v>
      </c>
    </row>
    <row r="83" spans="1:8" x14ac:dyDescent="0.2">
      <c r="A83" s="455">
        <f t="shared" si="0"/>
        <v>54</v>
      </c>
      <c r="B83" s="455" t="s">
        <v>81</v>
      </c>
      <c r="C83" s="553">
        <f t="shared" si="1"/>
        <v>95293.220338983039</v>
      </c>
      <c r="D83" s="551">
        <f t="shared" si="7"/>
        <v>87132.203389830494</v>
      </c>
      <c r="E83" s="551">
        <f t="shared" si="7"/>
        <v>4271.1864406779659</v>
      </c>
      <c r="F83" s="551">
        <f t="shared" si="3"/>
        <v>3889.8305084745757</v>
      </c>
      <c r="G83" s="552">
        <f t="shared" si="2"/>
        <v>6289352.5423728582</v>
      </c>
    </row>
    <row r="84" spans="1:8" x14ac:dyDescent="0.2">
      <c r="A84" s="455">
        <f t="shared" si="0"/>
        <v>55</v>
      </c>
      <c r="B84" s="455" t="s">
        <v>82</v>
      </c>
      <c r="C84" s="553">
        <f t="shared" si="1"/>
        <v>95293.220338983039</v>
      </c>
      <c r="D84" s="551">
        <f t="shared" si="7"/>
        <v>87132.203389830494</v>
      </c>
      <c r="E84" s="551">
        <f t="shared" si="7"/>
        <v>4271.1864406779659</v>
      </c>
      <c r="F84" s="551">
        <f t="shared" si="3"/>
        <v>3889.8305084745757</v>
      </c>
      <c r="G84" s="552">
        <f t="shared" si="2"/>
        <v>6194059.3220338747</v>
      </c>
    </row>
    <row r="85" spans="1:8" x14ac:dyDescent="0.2">
      <c r="A85" s="455">
        <f t="shared" si="0"/>
        <v>56</v>
      </c>
      <c r="B85" s="455" t="s">
        <v>83</v>
      </c>
      <c r="C85" s="553">
        <f t="shared" si="1"/>
        <v>95293.220338983039</v>
      </c>
      <c r="D85" s="551">
        <f t="shared" si="7"/>
        <v>87132.203389830494</v>
      </c>
      <c r="E85" s="551">
        <f t="shared" si="7"/>
        <v>4271.1864406779659</v>
      </c>
      <c r="F85" s="551">
        <f t="shared" si="3"/>
        <v>3889.8305084745757</v>
      </c>
      <c r="G85" s="552">
        <f t="shared" si="2"/>
        <v>6098766.1016948912</v>
      </c>
    </row>
    <row r="86" spans="1:8" x14ac:dyDescent="0.2">
      <c r="A86" s="455">
        <f t="shared" si="0"/>
        <v>57</v>
      </c>
      <c r="B86" s="455" t="s">
        <v>84</v>
      </c>
      <c r="C86" s="553">
        <f t="shared" si="1"/>
        <v>95293.220338983039</v>
      </c>
      <c r="D86" s="551">
        <f t="shared" si="7"/>
        <v>87132.203389830494</v>
      </c>
      <c r="E86" s="551">
        <f t="shared" si="7"/>
        <v>4271.1864406779659</v>
      </c>
      <c r="F86" s="551">
        <f t="shared" si="3"/>
        <v>3889.8305084745757</v>
      </c>
      <c r="G86" s="552">
        <f t="shared" si="2"/>
        <v>6003472.8813559078</v>
      </c>
    </row>
    <row r="87" spans="1:8" x14ac:dyDescent="0.2">
      <c r="A87" s="455">
        <f t="shared" si="0"/>
        <v>58</v>
      </c>
      <c r="B87" s="455" t="s">
        <v>85</v>
      </c>
      <c r="C87" s="553">
        <f t="shared" si="1"/>
        <v>95293.220338983039</v>
      </c>
      <c r="D87" s="551">
        <f t="shared" si="7"/>
        <v>87132.203389830494</v>
      </c>
      <c r="E87" s="551">
        <f t="shared" si="7"/>
        <v>4271.1864406779659</v>
      </c>
      <c r="F87" s="551">
        <f t="shared" si="3"/>
        <v>3889.8305084745757</v>
      </c>
      <c r="G87" s="552">
        <f t="shared" si="2"/>
        <v>5908179.6610169243</v>
      </c>
    </row>
    <row r="88" spans="1:8" x14ac:dyDescent="0.2">
      <c r="A88" s="455">
        <f t="shared" si="0"/>
        <v>59</v>
      </c>
      <c r="B88" s="455" t="s">
        <v>86</v>
      </c>
      <c r="C88" s="553">
        <f t="shared" si="1"/>
        <v>95293.220338983039</v>
      </c>
      <c r="D88" s="551">
        <f t="shared" si="7"/>
        <v>87132.203389830494</v>
      </c>
      <c r="E88" s="551">
        <f t="shared" si="7"/>
        <v>4271.1864406779659</v>
      </c>
      <c r="F88" s="551">
        <f t="shared" si="3"/>
        <v>3889.8305084745757</v>
      </c>
      <c r="G88" s="552">
        <f t="shared" si="2"/>
        <v>5812886.4406779408</v>
      </c>
    </row>
    <row r="89" spans="1:8" x14ac:dyDescent="0.2">
      <c r="A89" s="455">
        <f t="shared" si="0"/>
        <v>60</v>
      </c>
      <c r="B89" s="455" t="s">
        <v>87</v>
      </c>
      <c r="C89" s="553">
        <f t="shared" si="1"/>
        <v>95293.220338983039</v>
      </c>
      <c r="D89" s="551">
        <f t="shared" si="7"/>
        <v>87132.203389830494</v>
      </c>
      <c r="E89" s="551">
        <f t="shared" si="7"/>
        <v>4271.1864406779659</v>
      </c>
      <c r="F89" s="551">
        <f t="shared" si="3"/>
        <v>3889.8305084745757</v>
      </c>
      <c r="G89" s="552">
        <f t="shared" si="2"/>
        <v>5717593.2203389574</v>
      </c>
      <c r="H89" s="520"/>
    </row>
    <row r="90" spans="1:8" x14ac:dyDescent="0.2">
      <c r="A90" s="455">
        <f t="shared" si="0"/>
        <v>61</v>
      </c>
      <c r="B90" s="455" t="s">
        <v>88</v>
      </c>
      <c r="C90" s="553">
        <f t="shared" ref="C90:C149" si="8">SUM(D90:F90)</f>
        <v>95293.220338983039</v>
      </c>
      <c r="D90" s="551">
        <f t="shared" ref="D90:D121" si="9">D89</f>
        <v>87132.203389830494</v>
      </c>
      <c r="E90" s="551">
        <f t="shared" ref="E90:E121" si="10">E89</f>
        <v>4271.1864406779659</v>
      </c>
      <c r="F90" s="551">
        <f t="shared" ref="F90:F149" si="11">F89</f>
        <v>3889.8305084745757</v>
      </c>
      <c r="G90" s="552">
        <f t="shared" ref="G90:G149" si="12">G89-C90</f>
        <v>5622299.9999999739</v>
      </c>
    </row>
    <row r="91" spans="1:8" x14ac:dyDescent="0.2">
      <c r="A91" s="455">
        <f t="shared" si="0"/>
        <v>62</v>
      </c>
      <c r="B91" s="455" t="s">
        <v>89</v>
      </c>
      <c r="C91" s="553">
        <f t="shared" si="8"/>
        <v>95293.220338983039</v>
      </c>
      <c r="D91" s="551">
        <f t="shared" si="9"/>
        <v>87132.203389830494</v>
      </c>
      <c r="E91" s="551">
        <f t="shared" si="10"/>
        <v>4271.1864406779659</v>
      </c>
      <c r="F91" s="551">
        <f t="shared" si="11"/>
        <v>3889.8305084745757</v>
      </c>
      <c r="G91" s="552">
        <f t="shared" si="12"/>
        <v>5527006.7796609905</v>
      </c>
    </row>
    <row r="92" spans="1:8" x14ac:dyDescent="0.2">
      <c r="A92" s="455">
        <f t="shared" si="0"/>
        <v>63</v>
      </c>
      <c r="B92" s="455" t="s">
        <v>611</v>
      </c>
      <c r="C92" s="553">
        <f t="shared" si="8"/>
        <v>95293.220338983039</v>
      </c>
      <c r="D92" s="551">
        <f t="shared" si="9"/>
        <v>87132.203389830494</v>
      </c>
      <c r="E92" s="551">
        <f t="shared" si="10"/>
        <v>4271.1864406779659</v>
      </c>
      <c r="F92" s="551">
        <f t="shared" si="11"/>
        <v>3889.8305084745757</v>
      </c>
      <c r="G92" s="552">
        <f t="shared" si="12"/>
        <v>5431713.559322007</v>
      </c>
    </row>
    <row r="93" spans="1:8" x14ac:dyDescent="0.2">
      <c r="A93" s="455">
        <f t="shared" si="0"/>
        <v>64</v>
      </c>
      <c r="B93" s="455" t="s">
        <v>612</v>
      </c>
      <c r="C93" s="553">
        <f t="shared" si="8"/>
        <v>95293.220338983039</v>
      </c>
      <c r="D93" s="551">
        <f t="shared" si="9"/>
        <v>87132.203389830494</v>
      </c>
      <c r="E93" s="551">
        <f t="shared" si="10"/>
        <v>4271.1864406779659</v>
      </c>
      <c r="F93" s="551">
        <f t="shared" si="11"/>
        <v>3889.8305084745757</v>
      </c>
      <c r="G93" s="552">
        <f t="shared" si="12"/>
        <v>5336420.3389830235</v>
      </c>
    </row>
    <row r="94" spans="1:8" x14ac:dyDescent="0.2">
      <c r="A94" s="455">
        <f t="shared" si="0"/>
        <v>65</v>
      </c>
      <c r="B94" s="455" t="s">
        <v>613</v>
      </c>
      <c r="C94" s="553">
        <f t="shared" si="8"/>
        <v>95293.220338983039</v>
      </c>
      <c r="D94" s="551">
        <f t="shared" si="9"/>
        <v>87132.203389830494</v>
      </c>
      <c r="E94" s="551">
        <f t="shared" si="10"/>
        <v>4271.1864406779659</v>
      </c>
      <c r="F94" s="551">
        <f t="shared" si="11"/>
        <v>3889.8305084745757</v>
      </c>
      <c r="G94" s="552">
        <f t="shared" si="12"/>
        <v>5241127.1186440401</v>
      </c>
    </row>
    <row r="95" spans="1:8" x14ac:dyDescent="0.2">
      <c r="A95" s="455">
        <f t="shared" ref="A95:A149" si="13">A94+1</f>
        <v>66</v>
      </c>
      <c r="B95" s="455" t="s">
        <v>614</v>
      </c>
      <c r="C95" s="553">
        <f t="shared" si="8"/>
        <v>95293.220338983039</v>
      </c>
      <c r="D95" s="551">
        <f t="shared" si="9"/>
        <v>87132.203389830494</v>
      </c>
      <c r="E95" s="551">
        <f t="shared" si="10"/>
        <v>4271.1864406779659</v>
      </c>
      <c r="F95" s="551">
        <f t="shared" si="11"/>
        <v>3889.8305084745757</v>
      </c>
      <c r="G95" s="552">
        <f t="shared" si="12"/>
        <v>5145833.8983050566</v>
      </c>
    </row>
    <row r="96" spans="1:8" x14ac:dyDescent="0.2">
      <c r="A96" s="455">
        <f t="shared" si="13"/>
        <v>67</v>
      </c>
      <c r="B96" s="455" t="s">
        <v>615</v>
      </c>
      <c r="C96" s="553">
        <f t="shared" si="8"/>
        <v>95293.220338983039</v>
      </c>
      <c r="D96" s="551">
        <f t="shared" si="9"/>
        <v>87132.203389830494</v>
      </c>
      <c r="E96" s="551">
        <f t="shared" si="10"/>
        <v>4271.1864406779659</v>
      </c>
      <c r="F96" s="551">
        <f t="shared" si="11"/>
        <v>3889.8305084745757</v>
      </c>
      <c r="G96" s="552">
        <f t="shared" si="12"/>
        <v>5050540.6779660732</v>
      </c>
    </row>
    <row r="97" spans="1:7" x14ac:dyDescent="0.2">
      <c r="A97" s="455">
        <f t="shared" si="13"/>
        <v>68</v>
      </c>
      <c r="B97" s="455" t="s">
        <v>616</v>
      </c>
      <c r="C97" s="553">
        <f t="shared" si="8"/>
        <v>95293.220338983039</v>
      </c>
      <c r="D97" s="551">
        <f t="shared" si="9"/>
        <v>87132.203389830494</v>
      </c>
      <c r="E97" s="551">
        <f t="shared" si="10"/>
        <v>4271.1864406779659</v>
      </c>
      <c r="F97" s="551">
        <f t="shared" si="11"/>
        <v>3889.8305084745757</v>
      </c>
      <c r="G97" s="552">
        <f t="shared" si="12"/>
        <v>4955247.4576270897</v>
      </c>
    </row>
    <row r="98" spans="1:7" x14ac:dyDescent="0.2">
      <c r="A98" s="455">
        <f t="shared" si="13"/>
        <v>69</v>
      </c>
      <c r="B98" s="455" t="s">
        <v>617</v>
      </c>
      <c r="C98" s="553">
        <f t="shared" si="8"/>
        <v>95293.220338983039</v>
      </c>
      <c r="D98" s="551">
        <f t="shared" si="9"/>
        <v>87132.203389830494</v>
      </c>
      <c r="E98" s="551">
        <f t="shared" si="10"/>
        <v>4271.1864406779659</v>
      </c>
      <c r="F98" s="551">
        <f t="shared" si="11"/>
        <v>3889.8305084745757</v>
      </c>
      <c r="G98" s="552">
        <f t="shared" si="12"/>
        <v>4859954.2372881062</v>
      </c>
    </row>
    <row r="99" spans="1:7" x14ac:dyDescent="0.2">
      <c r="A99" s="455">
        <f t="shared" si="13"/>
        <v>70</v>
      </c>
      <c r="B99" s="455" t="s">
        <v>618</v>
      </c>
      <c r="C99" s="553">
        <f t="shared" si="8"/>
        <v>95293.220338983039</v>
      </c>
      <c r="D99" s="551">
        <f t="shared" si="9"/>
        <v>87132.203389830494</v>
      </c>
      <c r="E99" s="551">
        <f t="shared" si="10"/>
        <v>4271.1864406779659</v>
      </c>
      <c r="F99" s="551">
        <f t="shared" si="11"/>
        <v>3889.8305084745757</v>
      </c>
      <c r="G99" s="552">
        <f t="shared" si="12"/>
        <v>4764661.0169491228</v>
      </c>
    </row>
    <row r="100" spans="1:7" x14ac:dyDescent="0.2">
      <c r="A100" s="455">
        <f t="shared" si="13"/>
        <v>71</v>
      </c>
      <c r="B100" s="455" t="s">
        <v>619</v>
      </c>
      <c r="C100" s="553">
        <f t="shared" si="8"/>
        <v>95293.220338983039</v>
      </c>
      <c r="D100" s="551">
        <f t="shared" si="9"/>
        <v>87132.203389830494</v>
      </c>
      <c r="E100" s="551">
        <f t="shared" si="10"/>
        <v>4271.1864406779659</v>
      </c>
      <c r="F100" s="551">
        <f t="shared" si="11"/>
        <v>3889.8305084745757</v>
      </c>
      <c r="G100" s="552">
        <f t="shared" si="12"/>
        <v>4669367.7966101393</v>
      </c>
    </row>
    <row r="101" spans="1:7" x14ac:dyDescent="0.2">
      <c r="A101" s="455">
        <f t="shared" si="13"/>
        <v>72</v>
      </c>
      <c r="B101" s="455" t="s">
        <v>620</v>
      </c>
      <c r="C101" s="553">
        <f t="shared" si="8"/>
        <v>95293.220338983039</v>
      </c>
      <c r="D101" s="551">
        <f t="shared" si="9"/>
        <v>87132.203389830494</v>
      </c>
      <c r="E101" s="551">
        <f t="shared" si="10"/>
        <v>4271.1864406779659</v>
      </c>
      <c r="F101" s="551">
        <f t="shared" si="11"/>
        <v>3889.8305084745757</v>
      </c>
      <c r="G101" s="552">
        <f t="shared" si="12"/>
        <v>4574074.5762711558</v>
      </c>
    </row>
    <row r="102" spans="1:7" x14ac:dyDescent="0.2">
      <c r="A102" s="455">
        <f t="shared" si="13"/>
        <v>73</v>
      </c>
      <c r="B102" s="455" t="s">
        <v>621</v>
      </c>
      <c r="C102" s="553">
        <f t="shared" si="8"/>
        <v>95293.220338983039</v>
      </c>
      <c r="D102" s="551">
        <f t="shared" si="9"/>
        <v>87132.203389830494</v>
      </c>
      <c r="E102" s="551">
        <f t="shared" si="10"/>
        <v>4271.1864406779659</v>
      </c>
      <c r="F102" s="551">
        <f t="shared" si="11"/>
        <v>3889.8305084745757</v>
      </c>
      <c r="G102" s="552">
        <f t="shared" si="12"/>
        <v>4478781.3559321724</v>
      </c>
    </row>
    <row r="103" spans="1:7" x14ac:dyDescent="0.2">
      <c r="A103" s="455">
        <f t="shared" si="13"/>
        <v>74</v>
      </c>
      <c r="B103" s="455" t="s">
        <v>622</v>
      </c>
      <c r="C103" s="553">
        <f t="shared" si="8"/>
        <v>95293.220338983039</v>
      </c>
      <c r="D103" s="551">
        <f t="shared" si="9"/>
        <v>87132.203389830494</v>
      </c>
      <c r="E103" s="551">
        <f t="shared" si="10"/>
        <v>4271.1864406779659</v>
      </c>
      <c r="F103" s="551">
        <f t="shared" si="11"/>
        <v>3889.8305084745757</v>
      </c>
      <c r="G103" s="552">
        <f t="shared" si="12"/>
        <v>4383488.1355931889</v>
      </c>
    </row>
    <row r="104" spans="1:7" x14ac:dyDescent="0.2">
      <c r="A104" s="455">
        <f t="shared" si="13"/>
        <v>75</v>
      </c>
      <c r="B104" s="455" t="s">
        <v>623</v>
      </c>
      <c r="C104" s="553">
        <f t="shared" si="8"/>
        <v>95293.220338983039</v>
      </c>
      <c r="D104" s="551">
        <f t="shared" si="9"/>
        <v>87132.203389830494</v>
      </c>
      <c r="E104" s="551">
        <f t="shared" si="10"/>
        <v>4271.1864406779659</v>
      </c>
      <c r="F104" s="551">
        <f t="shared" si="11"/>
        <v>3889.8305084745757</v>
      </c>
      <c r="G104" s="552">
        <f t="shared" si="12"/>
        <v>4288194.9152542055</v>
      </c>
    </row>
    <row r="105" spans="1:7" x14ac:dyDescent="0.2">
      <c r="A105" s="455">
        <f t="shared" si="13"/>
        <v>76</v>
      </c>
      <c r="B105" s="455" t="s">
        <v>624</v>
      </c>
      <c r="C105" s="553">
        <f t="shared" si="8"/>
        <v>95293.220338983039</v>
      </c>
      <c r="D105" s="551">
        <f t="shared" si="9"/>
        <v>87132.203389830494</v>
      </c>
      <c r="E105" s="551">
        <f t="shared" si="10"/>
        <v>4271.1864406779659</v>
      </c>
      <c r="F105" s="551">
        <f t="shared" si="11"/>
        <v>3889.8305084745757</v>
      </c>
      <c r="G105" s="552">
        <f t="shared" si="12"/>
        <v>4192901.6949152225</v>
      </c>
    </row>
    <row r="106" spans="1:7" x14ac:dyDescent="0.2">
      <c r="A106" s="455">
        <f t="shared" si="13"/>
        <v>77</v>
      </c>
      <c r="B106" s="455" t="s">
        <v>625</v>
      </c>
      <c r="C106" s="553">
        <f t="shared" si="8"/>
        <v>95293.220338983039</v>
      </c>
      <c r="D106" s="551">
        <f t="shared" si="9"/>
        <v>87132.203389830494</v>
      </c>
      <c r="E106" s="551">
        <f t="shared" si="10"/>
        <v>4271.1864406779659</v>
      </c>
      <c r="F106" s="551">
        <f t="shared" si="11"/>
        <v>3889.8305084745757</v>
      </c>
      <c r="G106" s="552">
        <f t="shared" si="12"/>
        <v>4097608.4745762395</v>
      </c>
    </row>
    <row r="107" spans="1:7" x14ac:dyDescent="0.2">
      <c r="A107" s="455">
        <f t="shared" si="13"/>
        <v>78</v>
      </c>
      <c r="B107" s="455" t="s">
        <v>626</v>
      </c>
      <c r="C107" s="553">
        <f t="shared" si="8"/>
        <v>95293.220338983039</v>
      </c>
      <c r="D107" s="551">
        <f t="shared" si="9"/>
        <v>87132.203389830494</v>
      </c>
      <c r="E107" s="551">
        <f t="shared" si="10"/>
        <v>4271.1864406779659</v>
      </c>
      <c r="F107" s="551">
        <f t="shared" si="11"/>
        <v>3889.8305084745757</v>
      </c>
      <c r="G107" s="552">
        <f t="shared" si="12"/>
        <v>4002315.2542372565</v>
      </c>
    </row>
    <row r="108" spans="1:7" x14ac:dyDescent="0.2">
      <c r="A108" s="455">
        <f t="shared" si="13"/>
        <v>79</v>
      </c>
      <c r="B108" s="455" t="s">
        <v>627</v>
      </c>
      <c r="C108" s="553">
        <f t="shared" si="8"/>
        <v>95293.220338983039</v>
      </c>
      <c r="D108" s="551">
        <f t="shared" si="9"/>
        <v>87132.203389830494</v>
      </c>
      <c r="E108" s="551">
        <f t="shared" si="10"/>
        <v>4271.1864406779659</v>
      </c>
      <c r="F108" s="551">
        <f t="shared" si="11"/>
        <v>3889.8305084745757</v>
      </c>
      <c r="G108" s="552">
        <f t="shared" si="12"/>
        <v>3907022.0338982735</v>
      </c>
    </row>
    <row r="109" spans="1:7" x14ac:dyDescent="0.2">
      <c r="A109" s="455">
        <f t="shared" si="13"/>
        <v>80</v>
      </c>
      <c r="B109" s="455" t="s">
        <v>628</v>
      </c>
      <c r="C109" s="553">
        <f t="shared" si="8"/>
        <v>95293.220338983039</v>
      </c>
      <c r="D109" s="551">
        <f t="shared" si="9"/>
        <v>87132.203389830494</v>
      </c>
      <c r="E109" s="551">
        <f t="shared" si="10"/>
        <v>4271.1864406779659</v>
      </c>
      <c r="F109" s="551">
        <f t="shared" si="11"/>
        <v>3889.8305084745757</v>
      </c>
      <c r="G109" s="552">
        <f t="shared" si="12"/>
        <v>3811728.8135592905</v>
      </c>
    </row>
    <row r="110" spans="1:7" x14ac:dyDescent="0.2">
      <c r="A110" s="455">
        <f t="shared" si="13"/>
        <v>81</v>
      </c>
      <c r="B110" s="455" t="s">
        <v>629</v>
      </c>
      <c r="C110" s="553">
        <f t="shared" si="8"/>
        <v>95293.220338983039</v>
      </c>
      <c r="D110" s="551">
        <f t="shared" si="9"/>
        <v>87132.203389830494</v>
      </c>
      <c r="E110" s="551">
        <f t="shared" si="10"/>
        <v>4271.1864406779659</v>
      </c>
      <c r="F110" s="551">
        <f t="shared" si="11"/>
        <v>3889.8305084745757</v>
      </c>
      <c r="G110" s="552">
        <f t="shared" si="12"/>
        <v>3716435.5932203075</v>
      </c>
    </row>
    <row r="111" spans="1:7" x14ac:dyDescent="0.2">
      <c r="A111" s="455">
        <f t="shared" si="13"/>
        <v>82</v>
      </c>
      <c r="B111" s="455" t="s">
        <v>630</v>
      </c>
      <c r="C111" s="553">
        <f t="shared" si="8"/>
        <v>95293.220338983039</v>
      </c>
      <c r="D111" s="551">
        <f t="shared" si="9"/>
        <v>87132.203389830494</v>
      </c>
      <c r="E111" s="551">
        <f t="shared" si="10"/>
        <v>4271.1864406779659</v>
      </c>
      <c r="F111" s="551">
        <f t="shared" si="11"/>
        <v>3889.8305084745757</v>
      </c>
      <c r="G111" s="552">
        <f t="shared" si="12"/>
        <v>3621142.3728813245</v>
      </c>
    </row>
    <row r="112" spans="1:7" x14ac:dyDescent="0.2">
      <c r="A112" s="455">
        <f t="shared" si="13"/>
        <v>83</v>
      </c>
      <c r="B112" s="455" t="s">
        <v>631</v>
      </c>
      <c r="C112" s="553">
        <f t="shared" si="8"/>
        <v>95293.220338983039</v>
      </c>
      <c r="D112" s="551">
        <f t="shared" si="9"/>
        <v>87132.203389830494</v>
      </c>
      <c r="E112" s="551">
        <f t="shared" si="10"/>
        <v>4271.1864406779659</v>
      </c>
      <c r="F112" s="551">
        <f t="shared" si="11"/>
        <v>3889.8305084745757</v>
      </c>
      <c r="G112" s="552">
        <f t="shared" si="12"/>
        <v>3525849.1525423415</v>
      </c>
    </row>
    <row r="113" spans="1:7" x14ac:dyDescent="0.2">
      <c r="A113" s="455">
        <f t="shared" si="13"/>
        <v>84</v>
      </c>
      <c r="B113" s="455" t="s">
        <v>632</v>
      </c>
      <c r="C113" s="553">
        <f t="shared" si="8"/>
        <v>95293.220338983039</v>
      </c>
      <c r="D113" s="551">
        <f t="shared" si="9"/>
        <v>87132.203389830494</v>
      </c>
      <c r="E113" s="551">
        <f t="shared" si="10"/>
        <v>4271.1864406779659</v>
      </c>
      <c r="F113" s="551">
        <f t="shared" si="11"/>
        <v>3889.8305084745757</v>
      </c>
      <c r="G113" s="552">
        <f t="shared" si="12"/>
        <v>3430555.9322033585</v>
      </c>
    </row>
    <row r="114" spans="1:7" x14ac:dyDescent="0.2">
      <c r="A114" s="455">
        <f t="shared" si="13"/>
        <v>85</v>
      </c>
      <c r="B114" s="455" t="s">
        <v>633</v>
      </c>
      <c r="C114" s="553">
        <f t="shared" si="8"/>
        <v>95293.220338983039</v>
      </c>
      <c r="D114" s="551">
        <f t="shared" si="9"/>
        <v>87132.203389830494</v>
      </c>
      <c r="E114" s="551">
        <f t="shared" si="10"/>
        <v>4271.1864406779659</v>
      </c>
      <c r="F114" s="551">
        <f t="shared" si="11"/>
        <v>3889.8305084745757</v>
      </c>
      <c r="G114" s="552">
        <f t="shared" si="12"/>
        <v>3335262.7118643755</v>
      </c>
    </row>
    <row r="115" spans="1:7" x14ac:dyDescent="0.2">
      <c r="A115" s="455">
        <f t="shared" si="13"/>
        <v>86</v>
      </c>
      <c r="B115" s="455" t="s">
        <v>634</v>
      </c>
      <c r="C115" s="553">
        <f t="shared" si="8"/>
        <v>95293.220338983039</v>
      </c>
      <c r="D115" s="551">
        <f t="shared" si="9"/>
        <v>87132.203389830494</v>
      </c>
      <c r="E115" s="551">
        <f t="shared" si="10"/>
        <v>4271.1864406779659</v>
      </c>
      <c r="F115" s="551">
        <f t="shared" si="11"/>
        <v>3889.8305084745757</v>
      </c>
      <c r="G115" s="552">
        <f t="shared" si="12"/>
        <v>3239969.4915253925</v>
      </c>
    </row>
    <row r="116" spans="1:7" x14ac:dyDescent="0.2">
      <c r="A116" s="455">
        <f t="shared" si="13"/>
        <v>87</v>
      </c>
      <c r="B116" s="455" t="s">
        <v>635</v>
      </c>
      <c r="C116" s="553">
        <f t="shared" si="8"/>
        <v>95293.220338983039</v>
      </c>
      <c r="D116" s="551">
        <f t="shared" si="9"/>
        <v>87132.203389830494</v>
      </c>
      <c r="E116" s="551">
        <f t="shared" si="10"/>
        <v>4271.1864406779659</v>
      </c>
      <c r="F116" s="551">
        <f t="shared" si="11"/>
        <v>3889.8305084745757</v>
      </c>
      <c r="G116" s="552">
        <f t="shared" si="12"/>
        <v>3144676.2711864095</v>
      </c>
    </row>
    <row r="117" spans="1:7" x14ac:dyDescent="0.2">
      <c r="A117" s="455">
        <f t="shared" si="13"/>
        <v>88</v>
      </c>
      <c r="B117" s="455" t="s">
        <v>636</v>
      </c>
      <c r="C117" s="553">
        <f t="shared" si="8"/>
        <v>95293.220338983039</v>
      </c>
      <c r="D117" s="551">
        <f t="shared" si="9"/>
        <v>87132.203389830494</v>
      </c>
      <c r="E117" s="551">
        <f t="shared" si="10"/>
        <v>4271.1864406779659</v>
      </c>
      <c r="F117" s="551">
        <f t="shared" si="11"/>
        <v>3889.8305084745757</v>
      </c>
      <c r="G117" s="552">
        <f t="shared" si="12"/>
        <v>3049383.0508474265</v>
      </c>
    </row>
    <row r="118" spans="1:7" x14ac:dyDescent="0.2">
      <c r="A118" s="455">
        <f t="shared" si="13"/>
        <v>89</v>
      </c>
      <c r="B118" s="455" t="s">
        <v>637</v>
      </c>
      <c r="C118" s="553">
        <f t="shared" si="8"/>
        <v>95293.220338983039</v>
      </c>
      <c r="D118" s="551">
        <f t="shared" si="9"/>
        <v>87132.203389830494</v>
      </c>
      <c r="E118" s="551">
        <f t="shared" si="10"/>
        <v>4271.1864406779659</v>
      </c>
      <c r="F118" s="551">
        <f t="shared" si="11"/>
        <v>3889.8305084745757</v>
      </c>
      <c r="G118" s="552">
        <f t="shared" si="12"/>
        <v>2954089.8305084435</v>
      </c>
    </row>
    <row r="119" spans="1:7" x14ac:dyDescent="0.2">
      <c r="A119" s="455">
        <f t="shared" si="13"/>
        <v>90</v>
      </c>
      <c r="B119" s="455" t="s">
        <v>638</v>
      </c>
      <c r="C119" s="553">
        <f t="shared" si="8"/>
        <v>95293.220338983039</v>
      </c>
      <c r="D119" s="551">
        <f t="shared" si="9"/>
        <v>87132.203389830494</v>
      </c>
      <c r="E119" s="551">
        <f t="shared" si="10"/>
        <v>4271.1864406779659</v>
      </c>
      <c r="F119" s="551">
        <f t="shared" si="11"/>
        <v>3889.8305084745757</v>
      </c>
      <c r="G119" s="552">
        <f t="shared" si="12"/>
        <v>2858796.6101694605</v>
      </c>
    </row>
    <row r="120" spans="1:7" x14ac:dyDescent="0.2">
      <c r="A120" s="455">
        <f t="shared" si="13"/>
        <v>91</v>
      </c>
      <c r="B120" s="455" t="s">
        <v>639</v>
      </c>
      <c r="C120" s="553">
        <f t="shared" si="8"/>
        <v>95293.220338983039</v>
      </c>
      <c r="D120" s="551">
        <f t="shared" si="9"/>
        <v>87132.203389830494</v>
      </c>
      <c r="E120" s="551">
        <f t="shared" si="10"/>
        <v>4271.1864406779659</v>
      </c>
      <c r="F120" s="551">
        <f t="shared" si="11"/>
        <v>3889.8305084745757</v>
      </c>
      <c r="G120" s="552">
        <f t="shared" si="12"/>
        <v>2763503.3898304775</v>
      </c>
    </row>
    <row r="121" spans="1:7" x14ac:dyDescent="0.2">
      <c r="A121" s="455">
        <f t="shared" si="13"/>
        <v>92</v>
      </c>
      <c r="B121" s="455" t="s">
        <v>640</v>
      </c>
      <c r="C121" s="553">
        <f t="shared" si="8"/>
        <v>95293.220338983039</v>
      </c>
      <c r="D121" s="551">
        <f t="shared" si="9"/>
        <v>87132.203389830494</v>
      </c>
      <c r="E121" s="551">
        <f t="shared" si="10"/>
        <v>4271.1864406779659</v>
      </c>
      <c r="F121" s="551">
        <f t="shared" si="11"/>
        <v>3889.8305084745757</v>
      </c>
      <c r="G121" s="552">
        <f t="shared" si="12"/>
        <v>2668210.1694914945</v>
      </c>
    </row>
    <row r="122" spans="1:7" x14ac:dyDescent="0.2">
      <c r="A122" s="455">
        <f t="shared" si="13"/>
        <v>93</v>
      </c>
      <c r="B122" s="455" t="s">
        <v>641</v>
      </c>
      <c r="C122" s="553">
        <f t="shared" si="8"/>
        <v>95293.220338983039</v>
      </c>
      <c r="D122" s="551">
        <f t="shared" ref="D122:D149" si="14">D121</f>
        <v>87132.203389830494</v>
      </c>
      <c r="E122" s="551">
        <f t="shared" ref="E122:E149" si="15">E121</f>
        <v>4271.1864406779659</v>
      </c>
      <c r="F122" s="551">
        <f t="shared" si="11"/>
        <v>3889.8305084745757</v>
      </c>
      <c r="G122" s="552">
        <f t="shared" si="12"/>
        <v>2572916.9491525115</v>
      </c>
    </row>
    <row r="123" spans="1:7" x14ac:dyDescent="0.2">
      <c r="A123" s="455">
        <f t="shared" si="13"/>
        <v>94</v>
      </c>
      <c r="B123" s="455" t="s">
        <v>642</v>
      </c>
      <c r="C123" s="553">
        <f t="shared" si="8"/>
        <v>95293.220338983039</v>
      </c>
      <c r="D123" s="551">
        <f t="shared" si="14"/>
        <v>87132.203389830494</v>
      </c>
      <c r="E123" s="551">
        <f t="shared" si="15"/>
        <v>4271.1864406779659</v>
      </c>
      <c r="F123" s="551">
        <f t="shared" si="11"/>
        <v>3889.8305084745757</v>
      </c>
      <c r="G123" s="552">
        <f t="shared" si="12"/>
        <v>2477623.7288135285</v>
      </c>
    </row>
    <row r="124" spans="1:7" x14ac:dyDescent="0.2">
      <c r="A124" s="455">
        <f t="shared" si="13"/>
        <v>95</v>
      </c>
      <c r="B124" s="455" t="s">
        <v>643</v>
      </c>
      <c r="C124" s="553">
        <f t="shared" si="8"/>
        <v>95293.220338983039</v>
      </c>
      <c r="D124" s="551">
        <f t="shared" si="14"/>
        <v>87132.203389830494</v>
      </c>
      <c r="E124" s="551">
        <f t="shared" si="15"/>
        <v>4271.1864406779659</v>
      </c>
      <c r="F124" s="551">
        <f t="shared" si="11"/>
        <v>3889.8305084745757</v>
      </c>
      <c r="G124" s="552">
        <f t="shared" si="12"/>
        <v>2382330.5084745456</v>
      </c>
    </row>
    <row r="125" spans="1:7" x14ac:dyDescent="0.2">
      <c r="A125" s="455">
        <f t="shared" si="13"/>
        <v>96</v>
      </c>
      <c r="B125" s="455" t="s">
        <v>644</v>
      </c>
      <c r="C125" s="553">
        <f t="shared" si="8"/>
        <v>95293.220338983039</v>
      </c>
      <c r="D125" s="551">
        <f t="shared" si="14"/>
        <v>87132.203389830494</v>
      </c>
      <c r="E125" s="551">
        <f t="shared" si="15"/>
        <v>4271.1864406779659</v>
      </c>
      <c r="F125" s="551">
        <f t="shared" si="11"/>
        <v>3889.8305084745757</v>
      </c>
      <c r="G125" s="552">
        <f t="shared" si="12"/>
        <v>2287037.2881355626</v>
      </c>
    </row>
    <row r="126" spans="1:7" x14ac:dyDescent="0.2">
      <c r="A126" s="455">
        <f t="shared" si="13"/>
        <v>97</v>
      </c>
      <c r="B126" s="455" t="s">
        <v>645</v>
      </c>
      <c r="C126" s="553">
        <f t="shared" si="8"/>
        <v>95293.220338983039</v>
      </c>
      <c r="D126" s="551">
        <f t="shared" si="14"/>
        <v>87132.203389830494</v>
      </c>
      <c r="E126" s="551">
        <f t="shared" si="15"/>
        <v>4271.1864406779659</v>
      </c>
      <c r="F126" s="551">
        <f t="shared" si="11"/>
        <v>3889.8305084745757</v>
      </c>
      <c r="G126" s="552">
        <f t="shared" si="12"/>
        <v>2191744.0677965796</v>
      </c>
    </row>
    <row r="127" spans="1:7" x14ac:dyDescent="0.2">
      <c r="A127" s="455">
        <f t="shared" si="13"/>
        <v>98</v>
      </c>
      <c r="B127" s="455" t="s">
        <v>646</v>
      </c>
      <c r="C127" s="553">
        <f t="shared" si="8"/>
        <v>95293.220338983039</v>
      </c>
      <c r="D127" s="551">
        <f t="shared" si="14"/>
        <v>87132.203389830494</v>
      </c>
      <c r="E127" s="551">
        <f t="shared" si="15"/>
        <v>4271.1864406779659</v>
      </c>
      <c r="F127" s="551">
        <f t="shared" si="11"/>
        <v>3889.8305084745757</v>
      </c>
      <c r="G127" s="552">
        <f t="shared" si="12"/>
        <v>2096450.8474575966</v>
      </c>
    </row>
    <row r="128" spans="1:7" x14ac:dyDescent="0.2">
      <c r="A128" s="455">
        <f t="shared" si="13"/>
        <v>99</v>
      </c>
      <c r="B128" s="455" t="s">
        <v>647</v>
      </c>
      <c r="C128" s="553">
        <f t="shared" si="8"/>
        <v>95293.220338983039</v>
      </c>
      <c r="D128" s="551">
        <f t="shared" si="14"/>
        <v>87132.203389830494</v>
      </c>
      <c r="E128" s="551">
        <f t="shared" si="15"/>
        <v>4271.1864406779659</v>
      </c>
      <c r="F128" s="551">
        <f t="shared" si="11"/>
        <v>3889.8305084745757</v>
      </c>
      <c r="G128" s="552">
        <f t="shared" si="12"/>
        <v>2001157.6271186136</v>
      </c>
    </row>
    <row r="129" spans="1:7" x14ac:dyDescent="0.2">
      <c r="A129" s="455">
        <f t="shared" si="13"/>
        <v>100</v>
      </c>
      <c r="B129" s="455" t="s">
        <v>648</v>
      </c>
      <c r="C129" s="553">
        <f t="shared" si="8"/>
        <v>95293.220338983039</v>
      </c>
      <c r="D129" s="551">
        <f t="shared" si="14"/>
        <v>87132.203389830494</v>
      </c>
      <c r="E129" s="551">
        <f t="shared" si="15"/>
        <v>4271.1864406779659</v>
      </c>
      <c r="F129" s="551">
        <f t="shared" si="11"/>
        <v>3889.8305084745757</v>
      </c>
      <c r="G129" s="552">
        <f t="shared" si="12"/>
        <v>1905864.4067796306</v>
      </c>
    </row>
    <row r="130" spans="1:7" x14ac:dyDescent="0.2">
      <c r="A130" s="455">
        <f t="shared" si="13"/>
        <v>101</v>
      </c>
      <c r="B130" s="455" t="s">
        <v>649</v>
      </c>
      <c r="C130" s="553">
        <f t="shared" si="8"/>
        <v>95293.220338983039</v>
      </c>
      <c r="D130" s="551">
        <f t="shared" si="14"/>
        <v>87132.203389830494</v>
      </c>
      <c r="E130" s="551">
        <f t="shared" si="15"/>
        <v>4271.1864406779659</v>
      </c>
      <c r="F130" s="551">
        <f t="shared" si="11"/>
        <v>3889.8305084745757</v>
      </c>
      <c r="G130" s="552">
        <f t="shared" si="12"/>
        <v>1810571.1864406476</v>
      </c>
    </row>
    <row r="131" spans="1:7" x14ac:dyDescent="0.2">
      <c r="A131" s="455">
        <f t="shared" si="13"/>
        <v>102</v>
      </c>
      <c r="B131" s="455" t="s">
        <v>650</v>
      </c>
      <c r="C131" s="553">
        <f t="shared" si="8"/>
        <v>95293.220338983039</v>
      </c>
      <c r="D131" s="551">
        <f t="shared" si="14"/>
        <v>87132.203389830494</v>
      </c>
      <c r="E131" s="551">
        <f t="shared" si="15"/>
        <v>4271.1864406779659</v>
      </c>
      <c r="F131" s="551">
        <f t="shared" si="11"/>
        <v>3889.8305084745757</v>
      </c>
      <c r="G131" s="552">
        <f t="shared" si="12"/>
        <v>1715277.9661016646</v>
      </c>
    </row>
    <row r="132" spans="1:7" x14ac:dyDescent="0.2">
      <c r="A132" s="455">
        <f t="shared" si="13"/>
        <v>103</v>
      </c>
      <c r="B132" s="455" t="s">
        <v>651</v>
      </c>
      <c r="C132" s="553">
        <f t="shared" si="8"/>
        <v>95293.220338983039</v>
      </c>
      <c r="D132" s="551">
        <f t="shared" si="14"/>
        <v>87132.203389830494</v>
      </c>
      <c r="E132" s="551">
        <f t="shared" si="15"/>
        <v>4271.1864406779659</v>
      </c>
      <c r="F132" s="551">
        <f t="shared" si="11"/>
        <v>3889.8305084745757</v>
      </c>
      <c r="G132" s="552">
        <f t="shared" si="12"/>
        <v>1619984.7457626816</v>
      </c>
    </row>
    <row r="133" spans="1:7" x14ac:dyDescent="0.2">
      <c r="A133" s="455">
        <f t="shared" si="13"/>
        <v>104</v>
      </c>
      <c r="B133" s="455" t="s">
        <v>652</v>
      </c>
      <c r="C133" s="553">
        <f t="shared" si="8"/>
        <v>95293.220338983039</v>
      </c>
      <c r="D133" s="551">
        <f t="shared" si="14"/>
        <v>87132.203389830494</v>
      </c>
      <c r="E133" s="551">
        <f t="shared" si="15"/>
        <v>4271.1864406779659</v>
      </c>
      <c r="F133" s="551">
        <f t="shared" si="11"/>
        <v>3889.8305084745757</v>
      </c>
      <c r="G133" s="552">
        <f t="shared" si="12"/>
        <v>1524691.5254236986</v>
      </c>
    </row>
    <row r="134" spans="1:7" x14ac:dyDescent="0.2">
      <c r="A134" s="455">
        <f t="shared" si="13"/>
        <v>105</v>
      </c>
      <c r="B134" s="455" t="s">
        <v>653</v>
      </c>
      <c r="C134" s="553">
        <f t="shared" si="8"/>
        <v>95293.220338983039</v>
      </c>
      <c r="D134" s="551">
        <f t="shared" si="14"/>
        <v>87132.203389830494</v>
      </c>
      <c r="E134" s="551">
        <f t="shared" si="15"/>
        <v>4271.1864406779659</v>
      </c>
      <c r="F134" s="551">
        <f t="shared" si="11"/>
        <v>3889.8305084745757</v>
      </c>
      <c r="G134" s="552">
        <f t="shared" si="12"/>
        <v>1429398.3050847156</v>
      </c>
    </row>
    <row r="135" spans="1:7" x14ac:dyDescent="0.2">
      <c r="A135" s="455">
        <f t="shared" si="13"/>
        <v>106</v>
      </c>
      <c r="B135" s="455" t="s">
        <v>654</v>
      </c>
      <c r="C135" s="553">
        <f t="shared" si="8"/>
        <v>95293.220338983039</v>
      </c>
      <c r="D135" s="551">
        <f t="shared" si="14"/>
        <v>87132.203389830494</v>
      </c>
      <c r="E135" s="551">
        <f t="shared" si="15"/>
        <v>4271.1864406779659</v>
      </c>
      <c r="F135" s="551">
        <f t="shared" si="11"/>
        <v>3889.8305084745757</v>
      </c>
      <c r="G135" s="552">
        <f t="shared" si="12"/>
        <v>1334105.0847457326</v>
      </c>
    </row>
    <row r="136" spans="1:7" x14ac:dyDescent="0.2">
      <c r="A136" s="455">
        <f t="shared" si="13"/>
        <v>107</v>
      </c>
      <c r="B136" s="455" t="s">
        <v>655</v>
      </c>
      <c r="C136" s="553">
        <f t="shared" si="8"/>
        <v>95293.220338983039</v>
      </c>
      <c r="D136" s="551">
        <f t="shared" si="14"/>
        <v>87132.203389830494</v>
      </c>
      <c r="E136" s="551">
        <f t="shared" si="15"/>
        <v>4271.1864406779659</v>
      </c>
      <c r="F136" s="551">
        <f t="shared" si="11"/>
        <v>3889.8305084745757</v>
      </c>
      <c r="G136" s="552">
        <f t="shared" si="12"/>
        <v>1238811.8644067496</v>
      </c>
    </row>
    <row r="137" spans="1:7" x14ac:dyDescent="0.2">
      <c r="A137" s="455">
        <f t="shared" si="13"/>
        <v>108</v>
      </c>
      <c r="B137" s="455" t="s">
        <v>656</v>
      </c>
      <c r="C137" s="553">
        <f t="shared" si="8"/>
        <v>95293.220338983039</v>
      </c>
      <c r="D137" s="551">
        <f t="shared" si="14"/>
        <v>87132.203389830494</v>
      </c>
      <c r="E137" s="551">
        <f t="shared" si="15"/>
        <v>4271.1864406779659</v>
      </c>
      <c r="F137" s="551">
        <f t="shared" si="11"/>
        <v>3889.8305084745757</v>
      </c>
      <c r="G137" s="552">
        <f t="shared" si="12"/>
        <v>1143518.6440677666</v>
      </c>
    </row>
    <row r="138" spans="1:7" x14ac:dyDescent="0.2">
      <c r="A138" s="455">
        <f t="shared" si="13"/>
        <v>109</v>
      </c>
      <c r="B138" s="455" t="s">
        <v>657</v>
      </c>
      <c r="C138" s="553">
        <f t="shared" si="8"/>
        <v>95293.220338983039</v>
      </c>
      <c r="D138" s="551">
        <f t="shared" si="14"/>
        <v>87132.203389830494</v>
      </c>
      <c r="E138" s="551">
        <f t="shared" si="15"/>
        <v>4271.1864406779659</v>
      </c>
      <c r="F138" s="551">
        <f t="shared" si="11"/>
        <v>3889.8305084745757</v>
      </c>
      <c r="G138" s="552">
        <f t="shared" si="12"/>
        <v>1048225.4237287836</v>
      </c>
    </row>
    <row r="139" spans="1:7" x14ac:dyDescent="0.2">
      <c r="A139" s="455">
        <f t="shared" si="13"/>
        <v>110</v>
      </c>
      <c r="B139" s="455" t="s">
        <v>658</v>
      </c>
      <c r="C139" s="553">
        <f t="shared" si="8"/>
        <v>95293.220338983039</v>
      </c>
      <c r="D139" s="551">
        <f t="shared" si="14"/>
        <v>87132.203389830494</v>
      </c>
      <c r="E139" s="551">
        <f t="shared" si="15"/>
        <v>4271.1864406779659</v>
      </c>
      <c r="F139" s="551">
        <f t="shared" si="11"/>
        <v>3889.8305084745757</v>
      </c>
      <c r="G139" s="552">
        <f t="shared" si="12"/>
        <v>952932.20338980062</v>
      </c>
    </row>
    <row r="140" spans="1:7" x14ac:dyDescent="0.2">
      <c r="A140" s="455">
        <f t="shared" si="13"/>
        <v>111</v>
      </c>
      <c r="B140" s="455" t="s">
        <v>659</v>
      </c>
      <c r="C140" s="553">
        <f t="shared" si="8"/>
        <v>95293.220338983039</v>
      </c>
      <c r="D140" s="551">
        <f t="shared" si="14"/>
        <v>87132.203389830494</v>
      </c>
      <c r="E140" s="551">
        <f t="shared" si="15"/>
        <v>4271.1864406779659</v>
      </c>
      <c r="F140" s="551">
        <f t="shared" si="11"/>
        <v>3889.8305084745757</v>
      </c>
      <c r="G140" s="552">
        <f t="shared" si="12"/>
        <v>857638.98305081762</v>
      </c>
    </row>
    <row r="141" spans="1:7" x14ac:dyDescent="0.2">
      <c r="A141" s="455">
        <f t="shared" si="13"/>
        <v>112</v>
      </c>
      <c r="B141" s="455" t="s">
        <v>660</v>
      </c>
      <c r="C141" s="553">
        <f t="shared" si="8"/>
        <v>95293.220338983039</v>
      </c>
      <c r="D141" s="551">
        <f t="shared" si="14"/>
        <v>87132.203389830494</v>
      </c>
      <c r="E141" s="551">
        <f t="shared" si="15"/>
        <v>4271.1864406779659</v>
      </c>
      <c r="F141" s="551">
        <f t="shared" si="11"/>
        <v>3889.8305084745757</v>
      </c>
      <c r="G141" s="552">
        <f t="shared" si="12"/>
        <v>762345.76271183463</v>
      </c>
    </row>
    <row r="142" spans="1:7" x14ac:dyDescent="0.2">
      <c r="A142" s="455">
        <f t="shared" si="13"/>
        <v>113</v>
      </c>
      <c r="B142" s="455" t="s">
        <v>661</v>
      </c>
      <c r="C142" s="553">
        <f t="shared" si="8"/>
        <v>95293.220338983039</v>
      </c>
      <c r="D142" s="551">
        <f t="shared" si="14"/>
        <v>87132.203389830494</v>
      </c>
      <c r="E142" s="551">
        <f t="shared" si="15"/>
        <v>4271.1864406779659</v>
      </c>
      <c r="F142" s="551">
        <f t="shared" si="11"/>
        <v>3889.8305084745757</v>
      </c>
      <c r="G142" s="552">
        <f t="shared" si="12"/>
        <v>667052.54237285163</v>
      </c>
    </row>
    <row r="143" spans="1:7" x14ac:dyDescent="0.2">
      <c r="A143" s="455">
        <f t="shared" si="13"/>
        <v>114</v>
      </c>
      <c r="B143" s="455" t="s">
        <v>662</v>
      </c>
      <c r="C143" s="553">
        <f t="shared" si="8"/>
        <v>95293.220338983039</v>
      </c>
      <c r="D143" s="551">
        <f t="shared" si="14"/>
        <v>87132.203389830494</v>
      </c>
      <c r="E143" s="551">
        <f t="shared" si="15"/>
        <v>4271.1864406779659</v>
      </c>
      <c r="F143" s="551">
        <f t="shared" si="11"/>
        <v>3889.8305084745757</v>
      </c>
      <c r="G143" s="552">
        <f t="shared" si="12"/>
        <v>571759.32203386864</v>
      </c>
    </row>
    <row r="144" spans="1:7" x14ac:dyDescent="0.2">
      <c r="A144" s="455">
        <f t="shared" si="13"/>
        <v>115</v>
      </c>
      <c r="B144" s="455" t="s">
        <v>663</v>
      </c>
      <c r="C144" s="553">
        <f t="shared" si="8"/>
        <v>95293.220338983039</v>
      </c>
      <c r="D144" s="551">
        <f t="shared" si="14"/>
        <v>87132.203389830494</v>
      </c>
      <c r="E144" s="551">
        <f t="shared" si="15"/>
        <v>4271.1864406779659</v>
      </c>
      <c r="F144" s="551">
        <f t="shared" si="11"/>
        <v>3889.8305084745757</v>
      </c>
      <c r="G144" s="552">
        <f t="shared" si="12"/>
        <v>476466.10169488558</v>
      </c>
    </row>
    <row r="145" spans="1:8" x14ac:dyDescent="0.2">
      <c r="A145" s="455">
        <f t="shared" si="13"/>
        <v>116</v>
      </c>
      <c r="B145" s="455" t="s">
        <v>664</v>
      </c>
      <c r="C145" s="553">
        <f t="shared" si="8"/>
        <v>95293.220338983039</v>
      </c>
      <c r="D145" s="551">
        <f t="shared" si="14"/>
        <v>87132.203389830494</v>
      </c>
      <c r="E145" s="551">
        <f t="shared" si="15"/>
        <v>4271.1864406779659</v>
      </c>
      <c r="F145" s="551">
        <f t="shared" si="11"/>
        <v>3889.8305084745757</v>
      </c>
      <c r="G145" s="552">
        <f t="shared" si="12"/>
        <v>381172.88135590253</v>
      </c>
    </row>
    <row r="146" spans="1:8" x14ac:dyDescent="0.2">
      <c r="A146" s="455">
        <f t="shared" si="13"/>
        <v>117</v>
      </c>
      <c r="B146" s="455" t="s">
        <v>665</v>
      </c>
      <c r="C146" s="553">
        <f t="shared" si="8"/>
        <v>95293.220338983039</v>
      </c>
      <c r="D146" s="551">
        <f t="shared" si="14"/>
        <v>87132.203389830494</v>
      </c>
      <c r="E146" s="551">
        <f t="shared" si="15"/>
        <v>4271.1864406779659</v>
      </c>
      <c r="F146" s="551">
        <f t="shared" si="11"/>
        <v>3889.8305084745757</v>
      </c>
      <c r="G146" s="552">
        <f t="shared" si="12"/>
        <v>285879.66101691948</v>
      </c>
    </row>
    <row r="147" spans="1:8" x14ac:dyDescent="0.2">
      <c r="A147" s="455">
        <f t="shared" si="13"/>
        <v>118</v>
      </c>
      <c r="B147" s="455" t="s">
        <v>666</v>
      </c>
      <c r="C147" s="553">
        <f t="shared" si="8"/>
        <v>95293.220338983039</v>
      </c>
      <c r="D147" s="551">
        <f t="shared" si="14"/>
        <v>87132.203389830494</v>
      </c>
      <c r="E147" s="551">
        <f t="shared" si="15"/>
        <v>4271.1864406779659</v>
      </c>
      <c r="F147" s="551">
        <f t="shared" si="11"/>
        <v>3889.8305084745757</v>
      </c>
      <c r="G147" s="552">
        <f t="shared" si="12"/>
        <v>190586.44067793642</v>
      </c>
    </row>
    <row r="148" spans="1:8" x14ac:dyDescent="0.2">
      <c r="A148" s="455">
        <f t="shared" si="13"/>
        <v>119</v>
      </c>
      <c r="B148" s="455" t="s">
        <v>667</v>
      </c>
      <c r="C148" s="553">
        <f t="shared" si="8"/>
        <v>95293.220338983039</v>
      </c>
      <c r="D148" s="551">
        <f t="shared" si="14"/>
        <v>87132.203389830494</v>
      </c>
      <c r="E148" s="551">
        <f t="shared" si="15"/>
        <v>4271.1864406779659</v>
      </c>
      <c r="F148" s="551">
        <f t="shared" si="11"/>
        <v>3889.8305084745757</v>
      </c>
      <c r="G148" s="552">
        <f t="shared" si="12"/>
        <v>95293.220338953382</v>
      </c>
    </row>
    <row r="149" spans="1:8" x14ac:dyDescent="0.2">
      <c r="A149" s="455">
        <f t="shared" si="13"/>
        <v>120</v>
      </c>
      <c r="B149" s="455" t="s">
        <v>668</v>
      </c>
      <c r="C149" s="553">
        <f t="shared" si="8"/>
        <v>95293.220338983039</v>
      </c>
      <c r="D149" s="551">
        <f t="shared" si="14"/>
        <v>87132.203389830494</v>
      </c>
      <c r="E149" s="551">
        <f t="shared" si="15"/>
        <v>4271.1864406779659</v>
      </c>
      <c r="F149" s="551">
        <f t="shared" si="11"/>
        <v>3889.8305084745757</v>
      </c>
      <c r="G149" s="552">
        <f t="shared" si="12"/>
        <v>-2.9656803235411644E-8</v>
      </c>
    </row>
    <row r="150" spans="1:8" x14ac:dyDescent="0.2">
      <c r="A150" s="476"/>
      <c r="B150" s="476"/>
      <c r="C150" s="477"/>
      <c r="D150" s="478"/>
      <c r="E150" s="478"/>
      <c r="F150" s="478"/>
      <c r="G150" s="479"/>
    </row>
    <row r="151" spans="1:8" x14ac:dyDescent="0.2">
      <c r="A151" s="618" t="s">
        <v>113</v>
      </c>
      <c r="B151" s="621"/>
      <c r="C151" s="622"/>
      <c r="D151" s="623"/>
      <c r="E151" s="623"/>
      <c r="F151" s="623"/>
      <c r="G151" s="623"/>
    </row>
    <row r="152" spans="1:8" x14ac:dyDescent="0.2">
      <c r="A152" s="701" t="s">
        <v>531</v>
      </c>
      <c r="B152" s="701"/>
      <c r="C152" s="701"/>
      <c r="D152" s="701"/>
      <c r="E152" s="701"/>
      <c r="F152" s="701"/>
      <c r="G152" s="701"/>
      <c r="H152" s="614"/>
    </row>
    <row r="153" spans="1:8" x14ac:dyDescent="0.2">
      <c r="A153" s="674" t="s">
        <v>610</v>
      </c>
      <c r="B153" s="674"/>
      <c r="C153" s="674"/>
      <c r="D153" s="674"/>
      <c r="E153" s="674"/>
      <c r="F153" s="674"/>
      <c r="G153" s="674"/>
      <c r="H153" s="615"/>
    </row>
    <row r="154" spans="1:8" x14ac:dyDescent="0.2">
      <c r="A154" s="674" t="s">
        <v>532</v>
      </c>
      <c r="B154" s="674"/>
      <c r="C154" s="674"/>
      <c r="D154" s="674"/>
      <c r="E154" s="674"/>
      <c r="F154" s="674"/>
      <c r="G154" s="674"/>
      <c r="H154" s="615"/>
    </row>
    <row r="155" spans="1:8" x14ac:dyDescent="0.2">
      <c r="A155" s="674" t="s">
        <v>533</v>
      </c>
      <c r="B155" s="674"/>
      <c r="C155" s="674"/>
      <c r="D155" s="674"/>
      <c r="E155" s="674"/>
      <c r="F155" s="674"/>
      <c r="G155" s="674"/>
      <c r="H155" s="615"/>
    </row>
    <row r="156" spans="1:8" ht="108" customHeight="1" x14ac:dyDescent="0.2">
      <c r="A156" s="674" t="s">
        <v>684</v>
      </c>
      <c r="B156" s="674"/>
      <c r="C156" s="674"/>
      <c r="D156" s="674"/>
      <c r="E156" s="674"/>
      <c r="F156" s="674"/>
      <c r="G156" s="674"/>
      <c r="H156" s="615"/>
    </row>
    <row r="157" spans="1:8" ht="27" customHeight="1" x14ac:dyDescent="0.2">
      <c r="A157" s="675" t="s">
        <v>683</v>
      </c>
      <c r="B157" s="675"/>
      <c r="C157" s="675"/>
      <c r="D157" s="675"/>
      <c r="E157" s="675"/>
      <c r="F157" s="675"/>
      <c r="G157" s="675"/>
      <c r="H157" s="616"/>
    </row>
    <row r="158" spans="1:8" x14ac:dyDescent="0.2">
      <c r="A158" s="675" t="s">
        <v>685</v>
      </c>
      <c r="B158" s="675"/>
      <c r="C158" s="675"/>
      <c r="D158" s="675"/>
      <c r="E158" s="675"/>
      <c r="F158" s="675"/>
      <c r="G158" s="675"/>
      <c r="H158" s="616"/>
    </row>
    <row r="159" spans="1:8" x14ac:dyDescent="0.2">
      <c r="A159" s="675" t="s">
        <v>686</v>
      </c>
      <c r="B159" s="675"/>
      <c r="C159" s="675"/>
      <c r="D159" s="675"/>
      <c r="E159" s="675"/>
      <c r="F159" s="675"/>
      <c r="G159" s="675"/>
      <c r="H159" s="616"/>
    </row>
    <row r="160" spans="1:8" x14ac:dyDescent="0.2">
      <c r="A160" s="413"/>
      <c r="B160" s="413"/>
      <c r="C160" s="413"/>
      <c r="D160" s="413"/>
      <c r="E160" s="413"/>
      <c r="F160" s="413"/>
      <c r="G160" s="413"/>
      <c r="H160" s="413"/>
    </row>
    <row r="161" spans="1:7" x14ac:dyDescent="0.2">
      <c r="A161" s="620" t="s">
        <v>91</v>
      </c>
    </row>
    <row r="162" spans="1:7" ht="15" customHeight="1" x14ac:dyDescent="0.2"/>
    <row r="163" spans="1:7" ht="15" customHeight="1" x14ac:dyDescent="0.2">
      <c r="A163" s="481"/>
      <c r="B163" s="482"/>
      <c r="F163" s="483"/>
      <c r="G163" s="483"/>
    </row>
    <row r="164" spans="1:7" x14ac:dyDescent="0.2">
      <c r="A164" s="702" t="s">
        <v>422</v>
      </c>
      <c r="B164" s="702"/>
      <c r="E164" s="703" t="s">
        <v>447</v>
      </c>
      <c r="F164" s="703"/>
      <c r="G164" s="703"/>
    </row>
    <row r="165" spans="1:7" x14ac:dyDescent="0.2">
      <c r="A165" s="554"/>
      <c r="B165" s="555"/>
      <c r="C165" s="554"/>
      <c r="D165" s="480"/>
      <c r="E165" s="480"/>
      <c r="F165" s="480"/>
      <c r="G165"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154:G154"/>
    <mergeCell ref="D19:E19"/>
    <mergeCell ref="D20:E20"/>
    <mergeCell ref="D21:E21"/>
    <mergeCell ref="D22:E22"/>
    <mergeCell ref="D23:E23"/>
    <mergeCell ref="D24:E24"/>
    <mergeCell ref="D25:E25"/>
    <mergeCell ref="D26:E26"/>
    <mergeCell ref="I29:J29"/>
    <mergeCell ref="A152:G152"/>
    <mergeCell ref="A153:G153"/>
    <mergeCell ref="A164:B164"/>
    <mergeCell ref="E164:G164"/>
    <mergeCell ref="A155:G155"/>
    <mergeCell ref="A156:G156"/>
    <mergeCell ref="A157:G157"/>
    <mergeCell ref="A158:G158"/>
    <mergeCell ref="A159:G159"/>
  </mergeCells>
  <hyperlinks>
    <hyperlink ref="G6" location="INPUT!A1" display="BACK TO INPUT" xr:uid="{00000000-0004-0000-0D00-000000000000}"/>
  </hyperlinks>
  <printOptions horizontalCentered="1" verticalCentered="1"/>
  <pageMargins left="0.25" right="0.25" top="0.5" bottom="0.5" header="0.3" footer="0.3"/>
  <pageSetup paperSize="195" scale="88" orientation="portrait" horizontalDpi="200" verticalDpi="200" r:id="rId1"/>
  <headerFoot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rgb="FF002060"/>
  </sheetPr>
  <dimension ref="A1:U106"/>
  <sheetViews>
    <sheetView showGridLines="0" zoomScale="85" zoomScaleNormal="85" zoomScaleSheetLayoutView="85" workbookViewId="0">
      <selection activeCell="G15" sqref="G15"/>
    </sheetView>
  </sheetViews>
  <sheetFormatPr baseColWidth="10" defaultColWidth="0" defaultRowHeight="15" x14ac:dyDescent="0.2"/>
  <cols>
    <col min="1" max="1" width="34.1640625" style="198" bestFit="1" customWidth="1"/>
    <col min="2" max="2" width="10.33203125" style="268" bestFit="1" customWidth="1"/>
    <col min="3" max="3" width="14" style="198" bestFit="1" customWidth="1"/>
    <col min="4" max="4" width="14" style="199" bestFit="1" customWidth="1"/>
    <col min="5" max="6" width="12.1640625" style="199" customWidth="1"/>
    <col min="7" max="7" width="16" style="199" bestFit="1" customWidth="1"/>
    <col min="8" max="8" width="15.6640625" style="198" customWidth="1"/>
    <col min="9" max="9" width="26.83203125" style="198" bestFit="1" customWidth="1"/>
    <col min="10" max="10" width="5" style="198" bestFit="1" customWidth="1"/>
    <col min="11" max="11" width="11.5" style="198" bestFit="1" customWidth="1"/>
    <col min="12" max="12" width="22.5" style="198" hidden="1"/>
    <col min="13" max="13" width="6.1640625" style="198" bestFit="1" customWidth="1"/>
    <col min="14" max="14" width="27.1640625" style="198" bestFit="1" customWidth="1"/>
    <col min="15" max="18" width="22.5" style="198" hidden="1"/>
    <col min="19" max="19" width="3.6640625" style="198" bestFit="1" customWidth="1"/>
    <col min="20" max="20" width="4.33203125" style="198" bestFit="1" customWidth="1"/>
    <col min="21" max="21" width="9" style="198" bestFit="1" customWidth="1"/>
    <col min="22" max="16384" width="22.5" style="198" hidden="1"/>
  </cols>
  <sheetData>
    <row r="1" spans="1:21" ht="20" customHeight="1" x14ac:dyDescent="0.2">
      <c r="A1" s="536" t="str">
        <f>INPUT!C16</f>
        <v>Name of Buyer</v>
      </c>
      <c r="B1" s="715">
        <f>INPUT!D16</f>
        <v>0</v>
      </c>
      <c r="C1" s="716"/>
      <c r="I1" s="200" t="str">
        <f>IF(INPUT!D19="N/A","N/A",INPUT!D18)</f>
        <v>B2-L10</v>
      </c>
      <c r="J1" s="200"/>
      <c r="K1" s="201">
        <f>VLOOKUP(I1,'SOLA Pricelist'!B9:P62,13,FALSE)</f>
        <v>11984000</v>
      </c>
      <c r="L1" s="200"/>
      <c r="M1" s="205">
        <v>0</v>
      </c>
      <c r="N1" s="201"/>
    </row>
    <row r="2" spans="1:21" x14ac:dyDescent="0.2">
      <c r="A2" s="290" t="str">
        <f>INPUT!C17</f>
        <v>Type of Buyer</v>
      </c>
      <c r="B2" s="693" t="str">
        <f>INPUT!D17</f>
        <v>New Buyer</v>
      </c>
      <c r="C2" s="693"/>
      <c r="I2" s="200"/>
      <c r="J2" s="432" t="s">
        <v>604</v>
      </c>
      <c r="K2" s="433"/>
      <c r="L2" s="200"/>
      <c r="M2" s="205"/>
      <c r="N2" s="311"/>
      <c r="S2" s="737" t="s">
        <v>605</v>
      </c>
      <c r="T2" s="738"/>
      <c r="U2" s="739"/>
    </row>
    <row r="3" spans="1:21" x14ac:dyDescent="0.2">
      <c r="A3" s="267" t="s">
        <v>602</v>
      </c>
      <c r="B3" s="694" t="str">
        <f>INPUT!C13</f>
        <v>SOLA</v>
      </c>
      <c r="C3" s="694"/>
      <c r="I3" s="200" t="str">
        <f>INPUT!D22</f>
        <v>Yes</v>
      </c>
      <c r="J3" s="427" t="s">
        <v>108</v>
      </c>
      <c r="K3" s="428">
        <v>560000</v>
      </c>
      <c r="L3" s="200"/>
      <c r="M3" s="205">
        <v>0.01</v>
      </c>
      <c r="N3" s="310"/>
      <c r="S3" s="434" t="str">
        <f>INPUT!D23</f>
        <v>No</v>
      </c>
      <c r="T3" s="435" t="s">
        <v>108</v>
      </c>
      <c r="U3" s="428">
        <v>0</v>
      </c>
    </row>
    <row r="4" spans="1:21" x14ac:dyDescent="0.2">
      <c r="A4" s="267" t="str">
        <f>INPUT!C18</f>
        <v>Block &amp; Lot No.</v>
      </c>
      <c r="B4" s="694" t="str">
        <f>INPUT!D18</f>
        <v>B2-L10</v>
      </c>
      <c r="C4" s="694"/>
      <c r="D4" s="164"/>
      <c r="E4" s="164"/>
      <c r="I4" s="200"/>
      <c r="J4" s="427" t="s">
        <v>109</v>
      </c>
      <c r="K4" s="428">
        <v>0</v>
      </c>
      <c r="L4" s="200"/>
      <c r="M4" s="205">
        <v>0.02</v>
      </c>
      <c r="S4" s="436"/>
      <c r="T4" s="437" t="s">
        <v>109</v>
      </c>
      <c r="U4" s="430">
        <v>0</v>
      </c>
    </row>
    <row r="5" spans="1:21" x14ac:dyDescent="0.2">
      <c r="A5" s="412" t="str">
        <f>INPUT!C19</f>
        <v>Lot Area (sqm.)</v>
      </c>
      <c r="B5" s="694">
        <f>INPUT!D19</f>
        <v>300</v>
      </c>
      <c r="C5" s="694"/>
      <c r="D5" s="164"/>
      <c r="E5" s="164"/>
      <c r="G5" s="198"/>
      <c r="I5" s="200"/>
      <c r="J5" s="429" t="s">
        <v>596</v>
      </c>
      <c r="K5" s="430">
        <v>300000</v>
      </c>
      <c r="L5" s="200"/>
      <c r="M5" s="205">
        <v>0.03</v>
      </c>
    </row>
    <row r="6" spans="1:21" x14ac:dyDescent="0.2">
      <c r="A6" s="412" t="str">
        <f>INPUT!C20</f>
        <v>Lot Type</v>
      </c>
      <c r="B6" s="694" t="str">
        <f>INPUT!D20</f>
        <v>Parkview</v>
      </c>
      <c r="C6" s="694"/>
      <c r="D6" s="164"/>
      <c r="E6" s="164"/>
      <c r="G6" s="626" t="s">
        <v>412</v>
      </c>
      <c r="I6" s="200"/>
      <c r="J6" s="200"/>
      <c r="K6" s="201"/>
      <c r="L6" s="200"/>
      <c r="M6" s="205">
        <v>0.04</v>
      </c>
    </row>
    <row r="7" spans="1:21" hidden="1" x14ac:dyDescent="0.2">
      <c r="A7" s="267"/>
      <c r="B7" s="694"/>
      <c r="C7" s="694"/>
      <c r="D7" s="164"/>
      <c r="E7" s="164"/>
      <c r="I7" s="694" t="e">
        <f>VLOOKUP($I$1,'SOLA Pricelist'!$C$9:$V$62,23,FALSE)</f>
        <v>#N/A</v>
      </c>
      <c r="J7" s="694"/>
      <c r="K7" s="201"/>
      <c r="L7" s="200"/>
      <c r="M7" s="205">
        <v>0.05</v>
      </c>
    </row>
    <row r="8" spans="1:21" ht="41.25" customHeight="1" x14ac:dyDescent="0.2">
      <c r="A8" s="562" t="s">
        <v>23</v>
      </c>
      <c r="B8" s="711" t="str">
        <f>INPUT!G66</f>
        <v>90% Spot / 10% in 24 mos.  (with 15% Discount)</v>
      </c>
      <c r="C8" s="711"/>
      <c r="D8" s="164"/>
      <c r="E8" s="164"/>
      <c r="J8" s="200"/>
      <c r="K8" s="201"/>
      <c r="L8" s="200"/>
      <c r="M8" s="200"/>
    </row>
    <row r="9" spans="1:21" x14ac:dyDescent="0.2">
      <c r="D9" s="314"/>
      <c r="I9" s="200"/>
      <c r="J9" s="200"/>
      <c r="K9" s="201"/>
      <c r="L9" s="200"/>
      <c r="N9" s="439" t="s">
        <v>509</v>
      </c>
      <c r="O9" s="438"/>
      <c r="P9" s="438"/>
      <c r="Q9" s="438"/>
      <c r="R9" s="438"/>
      <c r="S9" s="438" t="str">
        <f>INPUT!D24</f>
        <v>No</v>
      </c>
      <c r="T9" s="438" t="s">
        <v>108</v>
      </c>
      <c r="U9" s="440">
        <v>0</v>
      </c>
    </row>
    <row r="10" spans="1:21" ht="19" x14ac:dyDescent="0.25">
      <c r="A10" s="237" t="s">
        <v>24</v>
      </c>
      <c r="I10" s="325" t="e">
        <f>VLOOKUP($I$1,'SOLA Pricelist'!$C$10:$Y$62,24,FALSE)</f>
        <v>#N/A</v>
      </c>
      <c r="J10" s="200"/>
      <c r="K10" s="201"/>
      <c r="L10" s="200"/>
      <c r="N10" s="441"/>
      <c r="O10" s="437"/>
      <c r="P10" s="437"/>
      <c r="Q10" s="437"/>
      <c r="R10" s="437"/>
      <c r="S10" s="437"/>
      <c r="T10" s="437" t="s">
        <v>109</v>
      </c>
      <c r="U10" s="442">
        <v>0</v>
      </c>
    </row>
    <row r="11" spans="1:21" ht="19" x14ac:dyDescent="0.25">
      <c r="A11" s="237"/>
      <c r="D11" s="687"/>
      <c r="E11" s="687"/>
      <c r="I11" s="200"/>
      <c r="J11" s="200"/>
      <c r="L11" s="200"/>
    </row>
    <row r="12" spans="1:21" x14ac:dyDescent="0.2">
      <c r="A12" s="537" t="s">
        <v>522</v>
      </c>
      <c r="B12" s="538"/>
      <c r="C12" s="537"/>
      <c r="D12" s="714">
        <f>IF(I3=J3,(K1-D25),K1)</f>
        <v>11424000</v>
      </c>
      <c r="E12" s="714"/>
      <c r="I12" s="217"/>
      <c r="J12" s="200"/>
      <c r="K12" s="201"/>
      <c r="L12" s="200"/>
    </row>
    <row r="13" spans="1:21" s="240" customFormat="1" x14ac:dyDescent="0.2">
      <c r="A13" s="238" t="str">
        <f>IF(INPUT!$D$22="Disc.","         Less: Member Disc.","")</f>
        <v/>
      </c>
      <c r="B13" s="239"/>
      <c r="D13" s="682">
        <f>IF(I3=J3,0,(IF(I3=J4,K4,K5)))</f>
        <v>0</v>
      </c>
      <c r="E13" s="682"/>
      <c r="I13" s="241"/>
      <c r="J13" s="242"/>
      <c r="K13" s="243"/>
      <c r="L13" s="242"/>
      <c r="N13" s="182"/>
      <c r="S13" s="323"/>
      <c r="T13" s="323"/>
      <c r="U13" s="345"/>
    </row>
    <row r="14" spans="1:21" s="240" customFormat="1" hidden="1" x14ac:dyDescent="0.2">
      <c r="A14" s="311" t="str">
        <f>IF(INPUT!$D$23="Yes"," Less: Intro Disc.","")</f>
        <v/>
      </c>
      <c r="B14" s="239"/>
      <c r="C14" s="431" t="str">
        <f>IF(A14="","",5%)</f>
        <v/>
      </c>
      <c r="D14" s="742">
        <f>IF(A14="",0,((D12-D13)*C14))</f>
        <v>0</v>
      </c>
      <c r="E14" s="742"/>
      <c r="I14" s="241"/>
      <c r="J14" s="242"/>
      <c r="K14" s="243"/>
      <c r="L14" s="242"/>
      <c r="N14" s="182"/>
      <c r="S14" s="323"/>
      <c r="T14" s="323"/>
      <c r="U14" s="345"/>
    </row>
    <row r="15" spans="1:21" s="169" customFormat="1" x14ac:dyDescent="0.2">
      <c r="A15" s="311" t="s">
        <v>501</v>
      </c>
      <c r="B15" s="168"/>
      <c r="C15" s="310">
        <v>0.15</v>
      </c>
      <c r="D15" s="684">
        <f>(D12-D13-D14)*C15</f>
        <v>1713600</v>
      </c>
      <c r="E15" s="684"/>
      <c r="I15" s="312"/>
      <c r="J15" s="171"/>
      <c r="K15" s="172"/>
      <c r="L15" s="171"/>
      <c r="S15" s="198"/>
      <c r="T15" s="323"/>
      <c r="U15" s="324"/>
    </row>
    <row r="16" spans="1:21" s="169" customFormat="1" hidden="1" x14ac:dyDescent="0.2">
      <c r="A16" s="311" t="str">
        <f>IF(INPUT!D24="No",""," Promo Disc.")</f>
        <v/>
      </c>
      <c r="B16" s="168"/>
      <c r="C16" s="316"/>
      <c r="D16" s="682">
        <f>IF(A16=" Promo Disc.",IF($S$9=$T$9,U9,IF($S$9=$T$10,U10)),0)</f>
        <v>0</v>
      </c>
      <c r="E16" s="682"/>
      <c r="I16" s="311"/>
      <c r="J16" s="171"/>
      <c r="K16" s="172"/>
      <c r="L16" s="171"/>
    </row>
    <row r="17" spans="1:16" s="169" customFormat="1" hidden="1" x14ac:dyDescent="0.2">
      <c r="A17" s="311" t="str">
        <f>IF(INPUT!D25="No",""," Other Disc.")</f>
        <v/>
      </c>
      <c r="B17" s="239"/>
      <c r="C17" s="248"/>
      <c r="D17" s="743">
        <f>IF(A17=" Other Disc.",IF($S$3=$T$3,U3,IF($S$3=$T$4,U4)),0)</f>
        <v>0</v>
      </c>
      <c r="E17" s="743"/>
      <c r="I17" s="170"/>
      <c r="J17" s="171"/>
      <c r="K17" s="172"/>
      <c r="L17" s="171"/>
    </row>
    <row r="18" spans="1:16" s="169" customFormat="1" x14ac:dyDescent="0.2">
      <c r="A18" s="238"/>
      <c r="B18" s="268"/>
      <c r="C18" s="364"/>
      <c r="D18" s="740"/>
      <c r="E18" s="740"/>
      <c r="I18" s="312"/>
      <c r="J18" s="171"/>
      <c r="K18" s="172"/>
      <c r="L18" s="171"/>
    </row>
    <row r="19" spans="1:16" s="244" customFormat="1" x14ac:dyDescent="0.2">
      <c r="A19" s="539" t="str">
        <f>IF(INPUT!D22=INPUT!N14,"Discounted List Price","Unit List Price (VAT-IN)")</f>
        <v>Unit List Price (VAT-IN)</v>
      </c>
      <c r="B19" s="540"/>
      <c r="C19" s="541"/>
      <c r="D19" s="707">
        <f>D12-D13-D14-D15-D16-D17-D18</f>
        <v>9710400</v>
      </c>
      <c r="E19" s="707"/>
      <c r="I19" s="346"/>
      <c r="J19" s="245"/>
      <c r="K19" s="247"/>
      <c r="L19" s="246"/>
    </row>
    <row r="20" spans="1:16" s="240" customFormat="1" x14ac:dyDescent="0.2">
      <c r="A20" s="238" t="str">
        <f>IF(INPUT!D22=INPUT!N14,"          Discounted List Price (VAT-EX)","         List Price (VAT-EX)")</f>
        <v xml:space="preserve">         List Price (VAT-EX)</v>
      </c>
      <c r="B20" s="239"/>
      <c r="D20" s="744">
        <f>D19/1.12</f>
        <v>8670000</v>
      </c>
      <c r="E20" s="744"/>
      <c r="H20" s="244"/>
      <c r="I20" s="242"/>
      <c r="J20" s="242"/>
      <c r="K20" s="243"/>
      <c r="L20" s="242"/>
    </row>
    <row r="21" spans="1:16" s="240" customFormat="1" x14ac:dyDescent="0.2">
      <c r="A21" s="238" t="str">
        <f>IF(INPUT!D17=INPUT!Q14,"         Less: Employee Disc.","")</f>
        <v/>
      </c>
      <c r="B21" s="239"/>
      <c r="C21" s="364" t="str">
        <f>IF(A21="","",5%)</f>
        <v/>
      </c>
      <c r="D21" s="743">
        <f>IF(INPUT!D17=INPUT!Q14,(D20)*5%,0)</f>
        <v>0</v>
      </c>
      <c r="E21" s="743"/>
      <c r="I21" s="242"/>
      <c r="J21" s="242"/>
      <c r="K21" s="243"/>
      <c r="L21" s="242"/>
    </row>
    <row r="22" spans="1:16" s="240" customFormat="1" x14ac:dyDescent="0.2">
      <c r="A22" s="539" t="s">
        <v>432</v>
      </c>
      <c r="B22" s="540"/>
      <c r="C22" s="542"/>
      <c r="D22" s="707">
        <f>D20-D21</f>
        <v>8670000</v>
      </c>
      <c r="E22" s="707"/>
      <c r="I22" s="249"/>
      <c r="J22" s="242"/>
      <c r="K22" s="243"/>
      <c r="L22" s="242"/>
    </row>
    <row r="23" spans="1:16" s="240" customFormat="1" x14ac:dyDescent="0.2">
      <c r="A23" s="238" t="s">
        <v>607</v>
      </c>
      <c r="B23" s="239"/>
      <c r="C23" s="400">
        <v>0.12</v>
      </c>
      <c r="D23" s="744">
        <f>D22*C23</f>
        <v>1040400</v>
      </c>
      <c r="E23" s="744"/>
      <c r="I23" s="242"/>
      <c r="J23" s="242"/>
      <c r="K23" s="243"/>
      <c r="L23" s="242"/>
    </row>
    <row r="24" spans="1:16" x14ac:dyDescent="0.2">
      <c r="A24" s="250" t="s">
        <v>608</v>
      </c>
      <c r="C24" s="251">
        <v>0.05</v>
      </c>
      <c r="D24" s="744">
        <f>D22*C24</f>
        <v>433500</v>
      </c>
      <c r="E24" s="744"/>
      <c r="I24" s="200"/>
      <c r="J24" s="200"/>
      <c r="K24" s="201"/>
      <c r="L24" s="200"/>
    </row>
    <row r="25" spans="1:16" x14ac:dyDescent="0.2">
      <c r="A25" s="250" t="s">
        <v>609</v>
      </c>
      <c r="B25" s="385"/>
      <c r="C25" s="251"/>
      <c r="D25" s="741">
        <f>IF(I3=J3,K3,0)</f>
        <v>560000</v>
      </c>
      <c r="E25" s="741"/>
      <c r="I25" s="200"/>
      <c r="J25" s="200"/>
      <c r="K25" s="201"/>
      <c r="L25" s="200"/>
    </row>
    <row r="26" spans="1:16" s="227" customFormat="1" x14ac:dyDescent="0.2">
      <c r="A26" s="543" t="s">
        <v>101</v>
      </c>
      <c r="B26" s="544"/>
      <c r="C26" s="545"/>
      <c r="D26" s="705">
        <f>D22+D23+D24+D25</f>
        <v>10703900</v>
      </c>
      <c r="E26" s="705"/>
      <c r="F26" s="534"/>
      <c r="G26" s="534"/>
      <c r="I26" s="252"/>
      <c r="J26" s="252"/>
      <c r="L26" s="372"/>
      <c r="M26" s="374"/>
      <c r="N26" s="376"/>
    </row>
    <row r="27" spans="1:16" s="255" customFormat="1" x14ac:dyDescent="0.2">
      <c r="A27" s="253"/>
      <c r="B27" s="254"/>
      <c r="D27" s="256"/>
      <c r="E27" s="256"/>
      <c r="F27" s="533"/>
      <c r="G27" s="533"/>
      <c r="I27" s="257"/>
      <c r="J27" s="257"/>
      <c r="K27" s="258"/>
      <c r="L27" s="257"/>
      <c r="M27" s="375"/>
      <c r="N27" s="377"/>
    </row>
    <row r="28" spans="1:16" ht="32" x14ac:dyDescent="0.2">
      <c r="A28" s="546" t="s">
        <v>25</v>
      </c>
      <c r="B28" s="546" t="s">
        <v>26</v>
      </c>
      <c r="C28" s="547" t="s">
        <v>130</v>
      </c>
      <c r="D28" s="548" t="s">
        <v>120</v>
      </c>
      <c r="E28" s="548" t="s">
        <v>121</v>
      </c>
      <c r="F28" s="548" t="s">
        <v>122</v>
      </c>
      <c r="G28" s="549" t="s">
        <v>410</v>
      </c>
      <c r="I28" s="205"/>
      <c r="J28" s="200"/>
      <c r="K28" s="373"/>
      <c r="L28" s="200"/>
      <c r="M28" s="375"/>
      <c r="N28" s="377"/>
    </row>
    <row r="29" spans="1:16" x14ac:dyDescent="0.2">
      <c r="A29" s="267">
        <v>0</v>
      </c>
      <c r="B29" s="267" t="s">
        <v>123</v>
      </c>
      <c r="C29" s="371">
        <f>$D$29+$E$29</f>
        <v>100000</v>
      </c>
      <c r="D29" s="327">
        <f>+IF(I3=J3,75000,100000)</f>
        <v>75000</v>
      </c>
      <c r="E29" s="327">
        <f>IF(I3=J3,25000,0)</f>
        <v>25000</v>
      </c>
      <c r="F29" s="327">
        <v>0</v>
      </c>
      <c r="G29" s="328">
        <f>D26-C29-F29</f>
        <v>10603900</v>
      </c>
      <c r="I29" s="743"/>
      <c r="J29" s="743"/>
      <c r="K29" s="378"/>
      <c r="L29" s="379"/>
      <c r="M29" s="370"/>
      <c r="N29" s="250"/>
      <c r="P29" s="345"/>
    </row>
    <row r="30" spans="1:16" x14ac:dyDescent="0.2">
      <c r="A30" s="267">
        <f>A29+1</f>
        <v>1</v>
      </c>
      <c r="B30" s="267" t="s">
        <v>102</v>
      </c>
      <c r="C30" s="329">
        <f>SUM(D30:F30)</f>
        <v>9533510</v>
      </c>
      <c r="D30" s="327">
        <f>(((D22+D23)*I30-D29)/J30)</f>
        <v>8664360</v>
      </c>
      <c r="E30" s="327">
        <f>((D25*I30-E29)/J30)</f>
        <v>479000</v>
      </c>
      <c r="F30" s="327">
        <f>(D24*I30)</f>
        <v>390150</v>
      </c>
      <c r="G30" s="328">
        <f>G29-C30</f>
        <v>1070390</v>
      </c>
      <c r="H30" s="381"/>
      <c r="I30" s="259">
        <v>0.9</v>
      </c>
      <c r="J30" s="200">
        <v>1</v>
      </c>
      <c r="K30" s="370"/>
      <c r="L30" s="370"/>
      <c r="M30" s="370"/>
      <c r="O30" s="372"/>
      <c r="P30" s="324"/>
    </row>
    <row r="31" spans="1:16" s="266" customFormat="1" x14ac:dyDescent="0.2">
      <c r="A31" s="313">
        <f t="shared" ref="A31:A90" si="0">A30+1</f>
        <v>2</v>
      </c>
      <c r="B31" s="267" t="s">
        <v>30</v>
      </c>
      <c r="C31" s="329">
        <f t="shared" ref="C31:C90" si="1">SUM(D31:F31)</f>
        <v>44599.583333333328</v>
      </c>
      <c r="D31" s="327">
        <f>((D26-(D24+D25))*I31/J31)</f>
        <v>40459.999999999993</v>
      </c>
      <c r="E31" s="327">
        <f>((D25*I31)/J31)</f>
        <v>2333.3333333333326</v>
      </c>
      <c r="F31" s="327">
        <f>(D24*I31)/J31</f>
        <v>1806.2499999999998</v>
      </c>
      <c r="G31" s="328">
        <f t="shared" ref="G31:G90" si="2">G30-C31</f>
        <v>1025790.4166666666</v>
      </c>
      <c r="I31" s="259">
        <f>100%-I30</f>
        <v>9.9999999999999978E-2</v>
      </c>
      <c r="J31" s="200">
        <v>24</v>
      </c>
      <c r="K31" s="443"/>
      <c r="L31" s="444"/>
      <c r="M31" s="445"/>
      <c r="O31" s="181"/>
    </row>
    <row r="32" spans="1:16" x14ac:dyDescent="0.2">
      <c r="A32" s="313">
        <f t="shared" si="0"/>
        <v>3</v>
      </c>
      <c r="B32" s="309" t="s">
        <v>31</v>
      </c>
      <c r="C32" s="329">
        <f t="shared" si="1"/>
        <v>44599.583333333328</v>
      </c>
      <c r="D32" s="327">
        <f>D31</f>
        <v>40459.999999999993</v>
      </c>
      <c r="E32" s="327">
        <f>E31</f>
        <v>2333.3333333333326</v>
      </c>
      <c r="F32" s="327">
        <f>F31</f>
        <v>1806.2499999999998</v>
      </c>
      <c r="G32" s="328">
        <f t="shared" si="2"/>
        <v>981190.83333333326</v>
      </c>
      <c r="I32" s="380"/>
    </row>
    <row r="33" spans="1:7" x14ac:dyDescent="0.2">
      <c r="A33" s="313">
        <f t="shared" si="0"/>
        <v>4</v>
      </c>
      <c r="B33" s="309" t="s">
        <v>32</v>
      </c>
      <c r="C33" s="329">
        <f t="shared" si="1"/>
        <v>44599.583333333328</v>
      </c>
      <c r="D33" s="327">
        <f>D32</f>
        <v>40459.999999999993</v>
      </c>
      <c r="E33" s="327">
        <f>E32</f>
        <v>2333.3333333333326</v>
      </c>
      <c r="F33" s="327">
        <f t="shared" ref="F33:F90" si="3">F32</f>
        <v>1806.2499999999998</v>
      </c>
      <c r="G33" s="328">
        <f t="shared" si="2"/>
        <v>936591.24999999988</v>
      </c>
    </row>
    <row r="34" spans="1:7" x14ac:dyDescent="0.2">
      <c r="A34" s="313">
        <f t="shared" si="0"/>
        <v>5</v>
      </c>
      <c r="B34" s="309" t="s">
        <v>33</v>
      </c>
      <c r="C34" s="329">
        <f t="shared" si="1"/>
        <v>44599.583333333328</v>
      </c>
      <c r="D34" s="327">
        <f t="shared" ref="D34:D89" si="4">D33</f>
        <v>40459.999999999993</v>
      </c>
      <c r="E34" s="327">
        <f t="shared" ref="E34:E89" si="5">E33</f>
        <v>2333.3333333333326</v>
      </c>
      <c r="F34" s="327">
        <f t="shared" si="3"/>
        <v>1806.2499999999998</v>
      </c>
      <c r="G34" s="328">
        <f t="shared" si="2"/>
        <v>891991.66666666651</v>
      </c>
    </row>
    <row r="35" spans="1:7" x14ac:dyDescent="0.2">
      <c r="A35" s="313">
        <f t="shared" si="0"/>
        <v>6</v>
      </c>
      <c r="B35" s="309" t="s">
        <v>34</v>
      </c>
      <c r="C35" s="329">
        <f t="shared" si="1"/>
        <v>44599.583333333328</v>
      </c>
      <c r="D35" s="327">
        <f t="shared" si="4"/>
        <v>40459.999999999993</v>
      </c>
      <c r="E35" s="327">
        <f t="shared" si="5"/>
        <v>2333.3333333333326</v>
      </c>
      <c r="F35" s="327">
        <f t="shared" si="3"/>
        <v>1806.2499999999998</v>
      </c>
      <c r="G35" s="328">
        <f t="shared" si="2"/>
        <v>847392.08333333314</v>
      </c>
    </row>
    <row r="36" spans="1:7" x14ac:dyDescent="0.2">
      <c r="A36" s="313">
        <f t="shared" si="0"/>
        <v>7</v>
      </c>
      <c r="B36" s="309" t="s">
        <v>35</v>
      </c>
      <c r="C36" s="329">
        <f t="shared" si="1"/>
        <v>44599.583333333328</v>
      </c>
      <c r="D36" s="327">
        <f t="shared" si="4"/>
        <v>40459.999999999993</v>
      </c>
      <c r="E36" s="327">
        <f t="shared" si="5"/>
        <v>2333.3333333333326</v>
      </c>
      <c r="F36" s="327">
        <f t="shared" si="3"/>
        <v>1806.2499999999998</v>
      </c>
      <c r="G36" s="328">
        <f t="shared" si="2"/>
        <v>802792.49999999977</v>
      </c>
    </row>
    <row r="37" spans="1:7" x14ac:dyDescent="0.2">
      <c r="A37" s="313">
        <f t="shared" si="0"/>
        <v>8</v>
      </c>
      <c r="B37" s="309" t="s">
        <v>36</v>
      </c>
      <c r="C37" s="329">
        <f t="shared" si="1"/>
        <v>44599.583333333328</v>
      </c>
      <c r="D37" s="327">
        <f t="shared" si="4"/>
        <v>40459.999999999993</v>
      </c>
      <c r="E37" s="327">
        <f t="shared" si="5"/>
        <v>2333.3333333333326</v>
      </c>
      <c r="F37" s="327">
        <f t="shared" si="3"/>
        <v>1806.2499999999998</v>
      </c>
      <c r="G37" s="328">
        <f t="shared" si="2"/>
        <v>758192.9166666664</v>
      </c>
    </row>
    <row r="38" spans="1:7" x14ac:dyDescent="0.2">
      <c r="A38" s="313">
        <f t="shared" si="0"/>
        <v>9</v>
      </c>
      <c r="B38" s="309" t="s">
        <v>37</v>
      </c>
      <c r="C38" s="329">
        <f t="shared" si="1"/>
        <v>44599.583333333328</v>
      </c>
      <c r="D38" s="327">
        <f t="shared" si="4"/>
        <v>40459.999999999993</v>
      </c>
      <c r="E38" s="327">
        <f t="shared" si="5"/>
        <v>2333.3333333333326</v>
      </c>
      <c r="F38" s="327">
        <f t="shared" si="3"/>
        <v>1806.2499999999998</v>
      </c>
      <c r="G38" s="328">
        <f t="shared" si="2"/>
        <v>713593.33333333302</v>
      </c>
    </row>
    <row r="39" spans="1:7" x14ac:dyDescent="0.2">
      <c r="A39" s="313">
        <f t="shared" si="0"/>
        <v>10</v>
      </c>
      <c r="B39" s="309" t="s">
        <v>38</v>
      </c>
      <c r="C39" s="329">
        <f t="shared" si="1"/>
        <v>44599.583333333328</v>
      </c>
      <c r="D39" s="327">
        <f t="shared" si="4"/>
        <v>40459.999999999993</v>
      </c>
      <c r="E39" s="327">
        <f t="shared" si="5"/>
        <v>2333.3333333333326</v>
      </c>
      <c r="F39" s="327">
        <f t="shared" si="3"/>
        <v>1806.2499999999998</v>
      </c>
      <c r="G39" s="328">
        <f t="shared" si="2"/>
        <v>668993.74999999965</v>
      </c>
    </row>
    <row r="40" spans="1:7" x14ac:dyDescent="0.2">
      <c r="A40" s="313">
        <f t="shared" si="0"/>
        <v>11</v>
      </c>
      <c r="B40" s="309" t="s">
        <v>39</v>
      </c>
      <c r="C40" s="329">
        <f t="shared" si="1"/>
        <v>44599.583333333328</v>
      </c>
      <c r="D40" s="327">
        <f t="shared" si="4"/>
        <v>40459.999999999993</v>
      </c>
      <c r="E40" s="327">
        <f t="shared" si="5"/>
        <v>2333.3333333333326</v>
      </c>
      <c r="F40" s="327">
        <f t="shared" si="3"/>
        <v>1806.2499999999998</v>
      </c>
      <c r="G40" s="328">
        <f t="shared" si="2"/>
        <v>624394.16666666628</v>
      </c>
    </row>
    <row r="41" spans="1:7" x14ac:dyDescent="0.2">
      <c r="A41" s="313">
        <f t="shared" si="0"/>
        <v>12</v>
      </c>
      <c r="B41" s="309" t="s">
        <v>40</v>
      </c>
      <c r="C41" s="329">
        <f t="shared" si="1"/>
        <v>44599.583333333328</v>
      </c>
      <c r="D41" s="327">
        <f t="shared" si="4"/>
        <v>40459.999999999993</v>
      </c>
      <c r="E41" s="327">
        <f t="shared" si="5"/>
        <v>2333.3333333333326</v>
      </c>
      <c r="F41" s="327">
        <f t="shared" si="3"/>
        <v>1806.2499999999998</v>
      </c>
      <c r="G41" s="328">
        <f t="shared" si="2"/>
        <v>579794.58333333291</v>
      </c>
    </row>
    <row r="42" spans="1:7" x14ac:dyDescent="0.2">
      <c r="A42" s="313">
        <f t="shared" si="0"/>
        <v>13</v>
      </c>
      <c r="B42" s="309" t="s">
        <v>41</v>
      </c>
      <c r="C42" s="329">
        <f t="shared" si="1"/>
        <v>44599.583333333328</v>
      </c>
      <c r="D42" s="327">
        <f t="shared" si="4"/>
        <v>40459.999999999993</v>
      </c>
      <c r="E42" s="327">
        <f t="shared" si="5"/>
        <v>2333.3333333333326</v>
      </c>
      <c r="F42" s="327">
        <f t="shared" si="3"/>
        <v>1806.2499999999998</v>
      </c>
      <c r="G42" s="328">
        <f t="shared" si="2"/>
        <v>535194.99999999953</v>
      </c>
    </row>
    <row r="43" spans="1:7" x14ac:dyDescent="0.2">
      <c r="A43" s="313">
        <f t="shared" si="0"/>
        <v>14</v>
      </c>
      <c r="B43" s="309" t="s">
        <v>42</v>
      </c>
      <c r="C43" s="329">
        <f t="shared" si="1"/>
        <v>44599.583333333328</v>
      </c>
      <c r="D43" s="327">
        <f t="shared" si="4"/>
        <v>40459.999999999993</v>
      </c>
      <c r="E43" s="327">
        <f t="shared" si="5"/>
        <v>2333.3333333333326</v>
      </c>
      <c r="F43" s="327">
        <f t="shared" si="3"/>
        <v>1806.2499999999998</v>
      </c>
      <c r="G43" s="328">
        <f t="shared" si="2"/>
        <v>490595.41666666622</v>
      </c>
    </row>
    <row r="44" spans="1:7" x14ac:dyDescent="0.2">
      <c r="A44" s="313">
        <f t="shared" si="0"/>
        <v>15</v>
      </c>
      <c r="B44" s="309" t="s">
        <v>43</v>
      </c>
      <c r="C44" s="329">
        <f t="shared" si="1"/>
        <v>44599.583333333328</v>
      </c>
      <c r="D44" s="327">
        <f t="shared" si="4"/>
        <v>40459.999999999993</v>
      </c>
      <c r="E44" s="327">
        <f t="shared" si="5"/>
        <v>2333.3333333333326</v>
      </c>
      <c r="F44" s="327">
        <f t="shared" si="3"/>
        <v>1806.2499999999998</v>
      </c>
      <c r="G44" s="328">
        <f t="shared" si="2"/>
        <v>445995.83333333291</v>
      </c>
    </row>
    <row r="45" spans="1:7" x14ac:dyDescent="0.2">
      <c r="A45" s="313">
        <f t="shared" si="0"/>
        <v>16</v>
      </c>
      <c r="B45" s="309" t="s">
        <v>44</v>
      </c>
      <c r="C45" s="329">
        <f t="shared" si="1"/>
        <v>44599.583333333328</v>
      </c>
      <c r="D45" s="327">
        <f t="shared" si="4"/>
        <v>40459.999999999993</v>
      </c>
      <c r="E45" s="327">
        <f t="shared" si="5"/>
        <v>2333.3333333333326</v>
      </c>
      <c r="F45" s="327">
        <f t="shared" si="3"/>
        <v>1806.2499999999998</v>
      </c>
      <c r="G45" s="328">
        <f t="shared" si="2"/>
        <v>401396.24999999959</v>
      </c>
    </row>
    <row r="46" spans="1:7" x14ac:dyDescent="0.2">
      <c r="A46" s="313">
        <f t="shared" si="0"/>
        <v>17</v>
      </c>
      <c r="B46" s="309" t="s">
        <v>45</v>
      </c>
      <c r="C46" s="329">
        <f t="shared" si="1"/>
        <v>44599.583333333328</v>
      </c>
      <c r="D46" s="327">
        <f t="shared" si="4"/>
        <v>40459.999999999993</v>
      </c>
      <c r="E46" s="327">
        <f t="shared" si="5"/>
        <v>2333.3333333333326</v>
      </c>
      <c r="F46" s="327">
        <f t="shared" si="3"/>
        <v>1806.2499999999998</v>
      </c>
      <c r="G46" s="328">
        <f t="shared" si="2"/>
        <v>356796.66666666628</v>
      </c>
    </row>
    <row r="47" spans="1:7" x14ac:dyDescent="0.2">
      <c r="A47" s="313">
        <f t="shared" si="0"/>
        <v>18</v>
      </c>
      <c r="B47" s="309" t="s">
        <v>46</v>
      </c>
      <c r="C47" s="329">
        <f t="shared" si="1"/>
        <v>44599.583333333328</v>
      </c>
      <c r="D47" s="327">
        <f t="shared" si="4"/>
        <v>40459.999999999993</v>
      </c>
      <c r="E47" s="327">
        <f t="shared" si="5"/>
        <v>2333.3333333333326</v>
      </c>
      <c r="F47" s="327">
        <f t="shared" si="3"/>
        <v>1806.2499999999998</v>
      </c>
      <c r="G47" s="328">
        <f t="shared" si="2"/>
        <v>312197.08333333296</v>
      </c>
    </row>
    <row r="48" spans="1:7" x14ac:dyDescent="0.2">
      <c r="A48" s="313">
        <f t="shared" si="0"/>
        <v>19</v>
      </c>
      <c r="B48" s="309" t="s">
        <v>47</v>
      </c>
      <c r="C48" s="329">
        <f t="shared" si="1"/>
        <v>44599.583333333328</v>
      </c>
      <c r="D48" s="327">
        <f t="shared" si="4"/>
        <v>40459.999999999993</v>
      </c>
      <c r="E48" s="327">
        <f t="shared" si="5"/>
        <v>2333.3333333333326</v>
      </c>
      <c r="F48" s="327">
        <f t="shared" si="3"/>
        <v>1806.2499999999998</v>
      </c>
      <c r="G48" s="328">
        <f t="shared" si="2"/>
        <v>267597.49999999965</v>
      </c>
    </row>
    <row r="49" spans="1:7" x14ac:dyDescent="0.2">
      <c r="A49" s="313">
        <f t="shared" si="0"/>
        <v>20</v>
      </c>
      <c r="B49" s="309" t="s">
        <v>48</v>
      </c>
      <c r="C49" s="329">
        <f t="shared" si="1"/>
        <v>44599.583333333328</v>
      </c>
      <c r="D49" s="327">
        <f t="shared" si="4"/>
        <v>40459.999999999993</v>
      </c>
      <c r="E49" s="327">
        <f t="shared" si="5"/>
        <v>2333.3333333333326</v>
      </c>
      <c r="F49" s="327">
        <f t="shared" si="3"/>
        <v>1806.2499999999998</v>
      </c>
      <c r="G49" s="328">
        <f t="shared" si="2"/>
        <v>222997.91666666634</v>
      </c>
    </row>
    <row r="50" spans="1:7" x14ac:dyDescent="0.2">
      <c r="A50" s="313">
        <f t="shared" si="0"/>
        <v>21</v>
      </c>
      <c r="B50" s="309" t="s">
        <v>49</v>
      </c>
      <c r="C50" s="329">
        <f t="shared" si="1"/>
        <v>44599.583333333328</v>
      </c>
      <c r="D50" s="327">
        <f t="shared" si="4"/>
        <v>40459.999999999993</v>
      </c>
      <c r="E50" s="327">
        <f t="shared" si="5"/>
        <v>2333.3333333333326</v>
      </c>
      <c r="F50" s="327">
        <f t="shared" si="3"/>
        <v>1806.2499999999998</v>
      </c>
      <c r="G50" s="328">
        <f t="shared" si="2"/>
        <v>178398.33333333302</v>
      </c>
    </row>
    <row r="51" spans="1:7" x14ac:dyDescent="0.2">
      <c r="A51" s="313">
        <f t="shared" si="0"/>
        <v>22</v>
      </c>
      <c r="B51" s="309" t="s">
        <v>50</v>
      </c>
      <c r="C51" s="329">
        <f t="shared" si="1"/>
        <v>44599.583333333328</v>
      </c>
      <c r="D51" s="327">
        <f t="shared" si="4"/>
        <v>40459.999999999993</v>
      </c>
      <c r="E51" s="327">
        <f t="shared" si="5"/>
        <v>2333.3333333333326</v>
      </c>
      <c r="F51" s="327">
        <f t="shared" si="3"/>
        <v>1806.2499999999998</v>
      </c>
      <c r="G51" s="328">
        <f t="shared" si="2"/>
        <v>133798.74999999971</v>
      </c>
    </row>
    <row r="52" spans="1:7" x14ac:dyDescent="0.2">
      <c r="A52" s="313">
        <f t="shared" si="0"/>
        <v>23</v>
      </c>
      <c r="B52" s="309" t="s">
        <v>51</v>
      </c>
      <c r="C52" s="329">
        <f t="shared" si="1"/>
        <v>44599.583333333328</v>
      </c>
      <c r="D52" s="327">
        <f t="shared" si="4"/>
        <v>40459.999999999993</v>
      </c>
      <c r="E52" s="327">
        <f t="shared" si="5"/>
        <v>2333.3333333333326</v>
      </c>
      <c r="F52" s="327">
        <f t="shared" si="3"/>
        <v>1806.2499999999998</v>
      </c>
      <c r="G52" s="328">
        <f t="shared" si="2"/>
        <v>89199.16666666638</v>
      </c>
    </row>
    <row r="53" spans="1:7" x14ac:dyDescent="0.2">
      <c r="A53" s="313">
        <f t="shared" si="0"/>
        <v>24</v>
      </c>
      <c r="B53" s="309" t="s">
        <v>52</v>
      </c>
      <c r="C53" s="329">
        <f t="shared" si="1"/>
        <v>44599.583333333328</v>
      </c>
      <c r="D53" s="327">
        <f t="shared" si="4"/>
        <v>40459.999999999993</v>
      </c>
      <c r="E53" s="327">
        <f t="shared" si="5"/>
        <v>2333.3333333333326</v>
      </c>
      <c r="F53" s="327">
        <f t="shared" si="3"/>
        <v>1806.2499999999998</v>
      </c>
      <c r="G53" s="328">
        <f t="shared" si="2"/>
        <v>44599.583333333052</v>
      </c>
    </row>
    <row r="54" spans="1:7" x14ac:dyDescent="0.2">
      <c r="A54" s="313">
        <f t="shared" si="0"/>
        <v>25</v>
      </c>
      <c r="B54" s="309" t="s">
        <v>53</v>
      </c>
      <c r="C54" s="329">
        <f t="shared" si="1"/>
        <v>44599.583333333328</v>
      </c>
      <c r="D54" s="327">
        <f t="shared" si="4"/>
        <v>40459.999999999993</v>
      </c>
      <c r="E54" s="327">
        <f t="shared" si="5"/>
        <v>2333.3333333333326</v>
      </c>
      <c r="F54" s="327">
        <f t="shared" si="3"/>
        <v>1806.2499999999998</v>
      </c>
      <c r="G54" s="328">
        <f t="shared" si="2"/>
        <v>-2.7648638933897018E-10</v>
      </c>
    </row>
    <row r="55" spans="1:7" hidden="1" x14ac:dyDescent="0.2">
      <c r="A55" s="313">
        <f t="shared" si="0"/>
        <v>26</v>
      </c>
      <c r="B55" s="309" t="s">
        <v>54</v>
      </c>
      <c r="C55" s="329">
        <f t="shared" si="1"/>
        <v>44599.583333333328</v>
      </c>
      <c r="D55" s="327">
        <f t="shared" si="4"/>
        <v>40459.999999999993</v>
      </c>
      <c r="E55" s="327">
        <f t="shared" si="5"/>
        <v>2333.3333333333326</v>
      </c>
      <c r="F55" s="327">
        <f t="shared" si="3"/>
        <v>1806.2499999999998</v>
      </c>
      <c r="G55" s="328">
        <f t="shared" si="2"/>
        <v>-44599.583333333605</v>
      </c>
    </row>
    <row r="56" spans="1:7" hidden="1" x14ac:dyDescent="0.2">
      <c r="A56" s="313">
        <f t="shared" si="0"/>
        <v>27</v>
      </c>
      <c r="B56" s="309" t="s">
        <v>55</v>
      </c>
      <c r="C56" s="329">
        <f t="shared" si="1"/>
        <v>44599.583333333328</v>
      </c>
      <c r="D56" s="327">
        <f t="shared" si="4"/>
        <v>40459.999999999993</v>
      </c>
      <c r="E56" s="327">
        <f t="shared" si="5"/>
        <v>2333.3333333333326</v>
      </c>
      <c r="F56" s="327">
        <f t="shared" si="3"/>
        <v>1806.2499999999998</v>
      </c>
      <c r="G56" s="328">
        <f t="shared" si="2"/>
        <v>-89199.166666666933</v>
      </c>
    </row>
    <row r="57" spans="1:7" hidden="1" x14ac:dyDescent="0.2">
      <c r="A57" s="313">
        <f t="shared" si="0"/>
        <v>28</v>
      </c>
      <c r="B57" s="309" t="s">
        <v>56</v>
      </c>
      <c r="C57" s="329">
        <f t="shared" si="1"/>
        <v>44599.583333333328</v>
      </c>
      <c r="D57" s="327">
        <f t="shared" si="4"/>
        <v>40459.999999999993</v>
      </c>
      <c r="E57" s="327">
        <f t="shared" si="5"/>
        <v>2333.3333333333326</v>
      </c>
      <c r="F57" s="327">
        <f t="shared" si="3"/>
        <v>1806.2499999999998</v>
      </c>
      <c r="G57" s="328">
        <f t="shared" si="2"/>
        <v>-133798.75000000026</v>
      </c>
    </row>
    <row r="58" spans="1:7" hidden="1" x14ac:dyDescent="0.2">
      <c r="A58" s="313">
        <f t="shared" si="0"/>
        <v>29</v>
      </c>
      <c r="B58" s="309" t="s">
        <v>57</v>
      </c>
      <c r="C58" s="329">
        <f t="shared" si="1"/>
        <v>44599.583333333328</v>
      </c>
      <c r="D58" s="327">
        <f t="shared" si="4"/>
        <v>40459.999999999993</v>
      </c>
      <c r="E58" s="327">
        <f t="shared" si="5"/>
        <v>2333.3333333333326</v>
      </c>
      <c r="F58" s="327">
        <f t="shared" si="3"/>
        <v>1806.2499999999998</v>
      </c>
      <c r="G58" s="328">
        <f t="shared" si="2"/>
        <v>-178398.3333333336</v>
      </c>
    </row>
    <row r="59" spans="1:7" hidden="1" x14ac:dyDescent="0.2">
      <c r="A59" s="313">
        <f t="shared" si="0"/>
        <v>30</v>
      </c>
      <c r="B59" s="309" t="s">
        <v>58</v>
      </c>
      <c r="C59" s="329">
        <f t="shared" si="1"/>
        <v>44599.583333333328</v>
      </c>
      <c r="D59" s="327">
        <f t="shared" si="4"/>
        <v>40459.999999999993</v>
      </c>
      <c r="E59" s="327">
        <f t="shared" si="5"/>
        <v>2333.3333333333326</v>
      </c>
      <c r="F59" s="327">
        <f t="shared" si="3"/>
        <v>1806.2499999999998</v>
      </c>
      <c r="G59" s="328">
        <f t="shared" si="2"/>
        <v>-222997.91666666692</v>
      </c>
    </row>
    <row r="60" spans="1:7" hidden="1" x14ac:dyDescent="0.2">
      <c r="A60" s="313">
        <f t="shared" si="0"/>
        <v>31</v>
      </c>
      <c r="B60" s="309" t="s">
        <v>59</v>
      </c>
      <c r="C60" s="329">
        <f t="shared" si="1"/>
        <v>44599.583333333328</v>
      </c>
      <c r="D60" s="327">
        <f t="shared" si="4"/>
        <v>40459.999999999993</v>
      </c>
      <c r="E60" s="327">
        <f t="shared" si="5"/>
        <v>2333.3333333333326</v>
      </c>
      <c r="F60" s="327">
        <f t="shared" si="3"/>
        <v>1806.2499999999998</v>
      </c>
      <c r="G60" s="328">
        <f t="shared" si="2"/>
        <v>-267597.50000000023</v>
      </c>
    </row>
    <row r="61" spans="1:7" hidden="1" x14ac:dyDescent="0.2">
      <c r="A61" s="313">
        <f t="shared" si="0"/>
        <v>32</v>
      </c>
      <c r="B61" s="309" t="s">
        <v>60</v>
      </c>
      <c r="C61" s="329">
        <f t="shared" si="1"/>
        <v>44599.583333333328</v>
      </c>
      <c r="D61" s="327">
        <f t="shared" si="4"/>
        <v>40459.999999999993</v>
      </c>
      <c r="E61" s="327">
        <f t="shared" si="5"/>
        <v>2333.3333333333326</v>
      </c>
      <c r="F61" s="327">
        <f t="shared" si="3"/>
        <v>1806.2499999999998</v>
      </c>
      <c r="G61" s="328">
        <f t="shared" si="2"/>
        <v>-312197.08333333355</v>
      </c>
    </row>
    <row r="62" spans="1:7" hidden="1" x14ac:dyDescent="0.2">
      <c r="A62" s="313">
        <f t="shared" si="0"/>
        <v>33</v>
      </c>
      <c r="B62" s="309" t="s">
        <v>61</v>
      </c>
      <c r="C62" s="329">
        <f t="shared" si="1"/>
        <v>44599.583333333328</v>
      </c>
      <c r="D62" s="327">
        <f t="shared" si="4"/>
        <v>40459.999999999993</v>
      </c>
      <c r="E62" s="327">
        <f t="shared" si="5"/>
        <v>2333.3333333333326</v>
      </c>
      <c r="F62" s="327">
        <f t="shared" si="3"/>
        <v>1806.2499999999998</v>
      </c>
      <c r="G62" s="328">
        <f t="shared" si="2"/>
        <v>-356796.66666666686</v>
      </c>
    </row>
    <row r="63" spans="1:7" hidden="1" x14ac:dyDescent="0.2">
      <c r="A63" s="313">
        <f t="shared" si="0"/>
        <v>34</v>
      </c>
      <c r="B63" s="309" t="s">
        <v>62</v>
      </c>
      <c r="C63" s="329">
        <f t="shared" si="1"/>
        <v>44599.583333333328</v>
      </c>
      <c r="D63" s="327">
        <f t="shared" si="4"/>
        <v>40459.999999999993</v>
      </c>
      <c r="E63" s="327">
        <f t="shared" si="5"/>
        <v>2333.3333333333326</v>
      </c>
      <c r="F63" s="327">
        <f t="shared" si="3"/>
        <v>1806.2499999999998</v>
      </c>
      <c r="G63" s="328">
        <f t="shared" si="2"/>
        <v>-401396.25000000017</v>
      </c>
    </row>
    <row r="64" spans="1:7" hidden="1" x14ac:dyDescent="0.2">
      <c r="A64" s="313">
        <f t="shared" si="0"/>
        <v>35</v>
      </c>
      <c r="B64" s="309" t="s">
        <v>63</v>
      </c>
      <c r="C64" s="329">
        <f t="shared" si="1"/>
        <v>44599.583333333328</v>
      </c>
      <c r="D64" s="327">
        <f t="shared" si="4"/>
        <v>40459.999999999993</v>
      </c>
      <c r="E64" s="327">
        <f t="shared" si="5"/>
        <v>2333.3333333333326</v>
      </c>
      <c r="F64" s="327">
        <f t="shared" si="3"/>
        <v>1806.2499999999998</v>
      </c>
      <c r="G64" s="328">
        <f t="shared" si="2"/>
        <v>-445995.83333333349</v>
      </c>
    </row>
    <row r="65" spans="1:7" hidden="1" x14ac:dyDescent="0.2">
      <c r="A65" s="313">
        <f t="shared" si="0"/>
        <v>36</v>
      </c>
      <c r="B65" s="309" t="s">
        <v>64</v>
      </c>
      <c r="C65" s="329">
        <f t="shared" si="1"/>
        <v>44599.583333333328</v>
      </c>
      <c r="D65" s="327">
        <f t="shared" si="4"/>
        <v>40459.999999999993</v>
      </c>
      <c r="E65" s="327">
        <f t="shared" si="5"/>
        <v>2333.3333333333326</v>
      </c>
      <c r="F65" s="327">
        <f t="shared" si="3"/>
        <v>1806.2499999999998</v>
      </c>
      <c r="G65" s="328">
        <f t="shared" si="2"/>
        <v>-490595.4166666668</v>
      </c>
    </row>
    <row r="66" spans="1:7" hidden="1" x14ac:dyDescent="0.2">
      <c r="A66" s="313">
        <f t="shared" si="0"/>
        <v>37</v>
      </c>
      <c r="B66" s="309" t="s">
        <v>65</v>
      </c>
      <c r="C66" s="329">
        <f t="shared" si="1"/>
        <v>44599.583333333328</v>
      </c>
      <c r="D66" s="327">
        <f t="shared" si="4"/>
        <v>40459.999999999993</v>
      </c>
      <c r="E66" s="327">
        <f t="shared" si="5"/>
        <v>2333.3333333333326</v>
      </c>
      <c r="F66" s="327">
        <f t="shared" si="3"/>
        <v>1806.2499999999998</v>
      </c>
      <c r="G66" s="328">
        <f t="shared" si="2"/>
        <v>-535195.00000000012</v>
      </c>
    </row>
    <row r="67" spans="1:7" hidden="1" x14ac:dyDescent="0.2">
      <c r="A67" s="313">
        <f t="shared" si="0"/>
        <v>38</v>
      </c>
      <c r="B67" s="309" t="s">
        <v>66</v>
      </c>
      <c r="C67" s="329">
        <f t="shared" si="1"/>
        <v>44599.583333333328</v>
      </c>
      <c r="D67" s="327">
        <f t="shared" si="4"/>
        <v>40459.999999999993</v>
      </c>
      <c r="E67" s="327">
        <f t="shared" si="5"/>
        <v>2333.3333333333326</v>
      </c>
      <c r="F67" s="327">
        <f t="shared" si="3"/>
        <v>1806.2499999999998</v>
      </c>
      <c r="G67" s="328">
        <f t="shared" si="2"/>
        <v>-579794.58333333349</v>
      </c>
    </row>
    <row r="68" spans="1:7" hidden="1" x14ac:dyDescent="0.2">
      <c r="A68" s="313">
        <f t="shared" si="0"/>
        <v>39</v>
      </c>
      <c r="B68" s="309" t="s">
        <v>67</v>
      </c>
      <c r="C68" s="329">
        <f t="shared" si="1"/>
        <v>44599.583333333328</v>
      </c>
      <c r="D68" s="327">
        <f t="shared" si="4"/>
        <v>40459.999999999993</v>
      </c>
      <c r="E68" s="327">
        <f t="shared" si="5"/>
        <v>2333.3333333333326</v>
      </c>
      <c r="F68" s="327">
        <f t="shared" si="3"/>
        <v>1806.2499999999998</v>
      </c>
      <c r="G68" s="328">
        <f t="shared" si="2"/>
        <v>-624394.16666666686</v>
      </c>
    </row>
    <row r="69" spans="1:7" hidden="1" x14ac:dyDescent="0.2">
      <c r="A69" s="313">
        <f t="shared" si="0"/>
        <v>40</v>
      </c>
      <c r="B69" s="309" t="s">
        <v>68</v>
      </c>
      <c r="C69" s="329">
        <f t="shared" si="1"/>
        <v>44599.583333333328</v>
      </c>
      <c r="D69" s="327">
        <f t="shared" si="4"/>
        <v>40459.999999999993</v>
      </c>
      <c r="E69" s="327">
        <f t="shared" si="5"/>
        <v>2333.3333333333326</v>
      </c>
      <c r="F69" s="327">
        <f t="shared" si="3"/>
        <v>1806.2499999999998</v>
      </c>
      <c r="G69" s="328">
        <f t="shared" si="2"/>
        <v>-668993.75000000023</v>
      </c>
    </row>
    <row r="70" spans="1:7" hidden="1" x14ac:dyDescent="0.2">
      <c r="A70" s="313">
        <f t="shared" si="0"/>
        <v>41</v>
      </c>
      <c r="B70" s="309" t="s">
        <v>69</v>
      </c>
      <c r="C70" s="329">
        <f t="shared" si="1"/>
        <v>44599.583333333328</v>
      </c>
      <c r="D70" s="327">
        <f t="shared" si="4"/>
        <v>40459.999999999993</v>
      </c>
      <c r="E70" s="327">
        <f t="shared" si="5"/>
        <v>2333.3333333333326</v>
      </c>
      <c r="F70" s="327">
        <f t="shared" si="3"/>
        <v>1806.2499999999998</v>
      </c>
      <c r="G70" s="328">
        <f t="shared" si="2"/>
        <v>-713593.3333333336</v>
      </c>
    </row>
    <row r="71" spans="1:7" hidden="1" x14ac:dyDescent="0.2">
      <c r="A71" s="313">
        <f t="shared" si="0"/>
        <v>42</v>
      </c>
      <c r="B71" s="309" t="s">
        <v>70</v>
      </c>
      <c r="C71" s="329">
        <f t="shared" si="1"/>
        <v>44599.583333333328</v>
      </c>
      <c r="D71" s="327">
        <f t="shared" si="4"/>
        <v>40459.999999999993</v>
      </c>
      <c r="E71" s="327">
        <f t="shared" si="5"/>
        <v>2333.3333333333326</v>
      </c>
      <c r="F71" s="327">
        <f t="shared" si="3"/>
        <v>1806.2499999999998</v>
      </c>
      <c r="G71" s="328">
        <f t="shared" si="2"/>
        <v>-758192.91666666698</v>
      </c>
    </row>
    <row r="72" spans="1:7" hidden="1" x14ac:dyDescent="0.2">
      <c r="A72" s="313">
        <f t="shared" si="0"/>
        <v>43</v>
      </c>
      <c r="B72" s="309" t="s">
        <v>71</v>
      </c>
      <c r="C72" s="329">
        <f t="shared" si="1"/>
        <v>44599.583333333328</v>
      </c>
      <c r="D72" s="327">
        <f t="shared" si="4"/>
        <v>40459.999999999993</v>
      </c>
      <c r="E72" s="327">
        <f t="shared" si="5"/>
        <v>2333.3333333333326</v>
      </c>
      <c r="F72" s="327">
        <f t="shared" si="3"/>
        <v>1806.2499999999998</v>
      </c>
      <c r="G72" s="328">
        <f t="shared" si="2"/>
        <v>-802792.50000000035</v>
      </c>
    </row>
    <row r="73" spans="1:7" hidden="1" x14ac:dyDescent="0.2">
      <c r="A73" s="313">
        <f t="shared" si="0"/>
        <v>44</v>
      </c>
      <c r="B73" s="309" t="s">
        <v>72</v>
      </c>
      <c r="C73" s="329">
        <f t="shared" si="1"/>
        <v>44599.583333333328</v>
      </c>
      <c r="D73" s="327">
        <f t="shared" si="4"/>
        <v>40459.999999999993</v>
      </c>
      <c r="E73" s="327">
        <f t="shared" si="5"/>
        <v>2333.3333333333326</v>
      </c>
      <c r="F73" s="327">
        <f t="shared" si="3"/>
        <v>1806.2499999999998</v>
      </c>
      <c r="G73" s="328">
        <f t="shared" si="2"/>
        <v>-847392.08333333372</v>
      </c>
    </row>
    <row r="74" spans="1:7" hidden="1" x14ac:dyDescent="0.2">
      <c r="A74" s="313">
        <f t="shared" si="0"/>
        <v>45</v>
      </c>
      <c r="B74" s="309" t="s">
        <v>73</v>
      </c>
      <c r="C74" s="329">
        <f t="shared" si="1"/>
        <v>44599.583333333328</v>
      </c>
      <c r="D74" s="327">
        <f t="shared" si="4"/>
        <v>40459.999999999993</v>
      </c>
      <c r="E74" s="327">
        <f t="shared" si="5"/>
        <v>2333.3333333333326</v>
      </c>
      <c r="F74" s="327">
        <f t="shared" si="3"/>
        <v>1806.2499999999998</v>
      </c>
      <c r="G74" s="328">
        <f t="shared" si="2"/>
        <v>-891991.66666666709</v>
      </c>
    </row>
    <row r="75" spans="1:7" hidden="1" x14ac:dyDescent="0.2">
      <c r="A75" s="313">
        <f t="shared" si="0"/>
        <v>46</v>
      </c>
      <c r="B75" s="309" t="s">
        <v>74</v>
      </c>
      <c r="C75" s="329">
        <f t="shared" si="1"/>
        <v>44599.583333333328</v>
      </c>
      <c r="D75" s="327">
        <f t="shared" si="4"/>
        <v>40459.999999999993</v>
      </c>
      <c r="E75" s="327">
        <f t="shared" si="5"/>
        <v>2333.3333333333326</v>
      </c>
      <c r="F75" s="327">
        <f t="shared" si="3"/>
        <v>1806.2499999999998</v>
      </c>
      <c r="G75" s="328">
        <f t="shared" si="2"/>
        <v>-936591.25000000047</v>
      </c>
    </row>
    <row r="76" spans="1:7" hidden="1" x14ac:dyDescent="0.2">
      <c r="A76" s="313">
        <f t="shared" si="0"/>
        <v>47</v>
      </c>
      <c r="B76" s="309" t="s">
        <v>75</v>
      </c>
      <c r="C76" s="329">
        <f t="shared" si="1"/>
        <v>44599.583333333328</v>
      </c>
      <c r="D76" s="327">
        <f t="shared" si="4"/>
        <v>40459.999999999993</v>
      </c>
      <c r="E76" s="327">
        <f t="shared" si="5"/>
        <v>2333.3333333333326</v>
      </c>
      <c r="F76" s="327">
        <f t="shared" si="3"/>
        <v>1806.2499999999998</v>
      </c>
      <c r="G76" s="328">
        <f t="shared" si="2"/>
        <v>-981190.83333333384</v>
      </c>
    </row>
    <row r="77" spans="1:7" hidden="1" x14ac:dyDescent="0.2">
      <c r="A77" s="313">
        <f t="shared" si="0"/>
        <v>48</v>
      </c>
      <c r="B77" s="309" t="s">
        <v>76</v>
      </c>
      <c r="C77" s="329">
        <f t="shared" si="1"/>
        <v>44599.583333333328</v>
      </c>
      <c r="D77" s="327">
        <f t="shared" si="4"/>
        <v>40459.999999999993</v>
      </c>
      <c r="E77" s="327">
        <f t="shared" si="5"/>
        <v>2333.3333333333326</v>
      </c>
      <c r="F77" s="327">
        <f t="shared" si="3"/>
        <v>1806.2499999999998</v>
      </c>
      <c r="G77" s="328">
        <f t="shared" si="2"/>
        <v>-1025790.4166666672</v>
      </c>
    </row>
    <row r="78" spans="1:7" hidden="1" x14ac:dyDescent="0.2">
      <c r="A78" s="313">
        <f t="shared" si="0"/>
        <v>49</v>
      </c>
      <c r="B78" s="309" t="s">
        <v>77</v>
      </c>
      <c r="C78" s="329">
        <f t="shared" si="1"/>
        <v>44599.583333333328</v>
      </c>
      <c r="D78" s="327">
        <f t="shared" si="4"/>
        <v>40459.999999999993</v>
      </c>
      <c r="E78" s="327">
        <f t="shared" si="5"/>
        <v>2333.3333333333326</v>
      </c>
      <c r="F78" s="327">
        <f t="shared" si="3"/>
        <v>1806.2499999999998</v>
      </c>
      <c r="G78" s="328">
        <f t="shared" si="2"/>
        <v>-1070390.0000000005</v>
      </c>
    </row>
    <row r="79" spans="1:7" hidden="1" x14ac:dyDescent="0.2">
      <c r="A79" s="313">
        <f t="shared" si="0"/>
        <v>50</v>
      </c>
      <c r="B79" s="309" t="s">
        <v>78</v>
      </c>
      <c r="C79" s="329">
        <f t="shared" si="1"/>
        <v>44599.583333333328</v>
      </c>
      <c r="D79" s="327">
        <f t="shared" si="4"/>
        <v>40459.999999999993</v>
      </c>
      <c r="E79" s="327">
        <f t="shared" si="5"/>
        <v>2333.3333333333326</v>
      </c>
      <c r="F79" s="327">
        <f t="shared" si="3"/>
        <v>1806.2499999999998</v>
      </c>
      <c r="G79" s="328">
        <f t="shared" si="2"/>
        <v>-1114989.5833333337</v>
      </c>
    </row>
    <row r="80" spans="1:7" hidden="1" x14ac:dyDescent="0.2">
      <c r="A80" s="313">
        <f t="shared" si="0"/>
        <v>51</v>
      </c>
      <c r="B80" s="309" t="s">
        <v>79</v>
      </c>
      <c r="C80" s="329">
        <f t="shared" si="1"/>
        <v>44599.583333333328</v>
      </c>
      <c r="D80" s="327">
        <f t="shared" si="4"/>
        <v>40459.999999999993</v>
      </c>
      <c r="E80" s="327">
        <f t="shared" si="5"/>
        <v>2333.3333333333326</v>
      </c>
      <c r="F80" s="327">
        <f t="shared" si="3"/>
        <v>1806.2499999999998</v>
      </c>
      <c r="G80" s="328">
        <f t="shared" si="2"/>
        <v>-1159589.166666667</v>
      </c>
    </row>
    <row r="81" spans="1:9" hidden="1" x14ac:dyDescent="0.2">
      <c r="A81" s="313">
        <f t="shared" si="0"/>
        <v>52</v>
      </c>
      <c r="B81" s="309" t="s">
        <v>80</v>
      </c>
      <c r="C81" s="329">
        <f t="shared" si="1"/>
        <v>44599.583333333328</v>
      </c>
      <c r="D81" s="327">
        <f t="shared" si="4"/>
        <v>40459.999999999993</v>
      </c>
      <c r="E81" s="327">
        <f t="shared" si="5"/>
        <v>2333.3333333333326</v>
      </c>
      <c r="F81" s="327">
        <f t="shared" si="3"/>
        <v>1806.2499999999998</v>
      </c>
      <c r="G81" s="328">
        <f t="shared" si="2"/>
        <v>-1204188.7500000002</v>
      </c>
    </row>
    <row r="82" spans="1:9" hidden="1" x14ac:dyDescent="0.2">
      <c r="A82" s="313">
        <f t="shared" si="0"/>
        <v>53</v>
      </c>
      <c r="B82" s="309" t="s">
        <v>81</v>
      </c>
      <c r="C82" s="329">
        <f t="shared" si="1"/>
        <v>44599.583333333328</v>
      </c>
      <c r="D82" s="327">
        <f t="shared" si="4"/>
        <v>40459.999999999993</v>
      </c>
      <c r="E82" s="327">
        <f t="shared" si="5"/>
        <v>2333.3333333333326</v>
      </c>
      <c r="F82" s="327">
        <f t="shared" si="3"/>
        <v>1806.2499999999998</v>
      </c>
      <c r="G82" s="328">
        <f t="shared" si="2"/>
        <v>-1248788.3333333335</v>
      </c>
    </row>
    <row r="83" spans="1:9" hidden="1" x14ac:dyDescent="0.2">
      <c r="A83" s="313">
        <f t="shared" si="0"/>
        <v>54</v>
      </c>
      <c r="B83" s="309" t="s">
        <v>82</v>
      </c>
      <c r="C83" s="329">
        <f t="shared" si="1"/>
        <v>44599.583333333328</v>
      </c>
      <c r="D83" s="327">
        <f t="shared" si="4"/>
        <v>40459.999999999993</v>
      </c>
      <c r="E83" s="327">
        <f t="shared" si="5"/>
        <v>2333.3333333333326</v>
      </c>
      <c r="F83" s="327">
        <f t="shared" si="3"/>
        <v>1806.2499999999998</v>
      </c>
      <c r="G83" s="328">
        <f t="shared" si="2"/>
        <v>-1293387.9166666667</v>
      </c>
    </row>
    <row r="84" spans="1:9" hidden="1" x14ac:dyDescent="0.2">
      <c r="A84" s="313">
        <f t="shared" si="0"/>
        <v>55</v>
      </c>
      <c r="B84" s="309" t="s">
        <v>83</v>
      </c>
      <c r="C84" s="329">
        <f t="shared" si="1"/>
        <v>44599.583333333328</v>
      </c>
      <c r="D84" s="327">
        <f t="shared" si="4"/>
        <v>40459.999999999993</v>
      </c>
      <c r="E84" s="327">
        <f t="shared" si="5"/>
        <v>2333.3333333333326</v>
      </c>
      <c r="F84" s="327">
        <f t="shared" si="3"/>
        <v>1806.2499999999998</v>
      </c>
      <c r="G84" s="328">
        <f t="shared" si="2"/>
        <v>-1337987.5</v>
      </c>
    </row>
    <row r="85" spans="1:9" hidden="1" x14ac:dyDescent="0.2">
      <c r="A85" s="313">
        <f t="shared" si="0"/>
        <v>56</v>
      </c>
      <c r="B85" s="309" t="s">
        <v>84</v>
      </c>
      <c r="C85" s="329">
        <f t="shared" si="1"/>
        <v>44599.583333333328</v>
      </c>
      <c r="D85" s="327">
        <f t="shared" si="4"/>
        <v>40459.999999999993</v>
      </c>
      <c r="E85" s="327">
        <f t="shared" si="5"/>
        <v>2333.3333333333326</v>
      </c>
      <c r="F85" s="327">
        <f t="shared" si="3"/>
        <v>1806.2499999999998</v>
      </c>
      <c r="G85" s="328">
        <f t="shared" si="2"/>
        <v>-1382587.0833333333</v>
      </c>
    </row>
    <row r="86" spans="1:9" hidden="1" x14ac:dyDescent="0.2">
      <c r="A86" s="313">
        <f t="shared" si="0"/>
        <v>57</v>
      </c>
      <c r="B86" s="309" t="s">
        <v>85</v>
      </c>
      <c r="C86" s="329">
        <f t="shared" si="1"/>
        <v>44599.583333333328</v>
      </c>
      <c r="D86" s="327">
        <f t="shared" si="4"/>
        <v>40459.999999999993</v>
      </c>
      <c r="E86" s="327">
        <f t="shared" si="5"/>
        <v>2333.3333333333326</v>
      </c>
      <c r="F86" s="327">
        <f t="shared" si="3"/>
        <v>1806.2499999999998</v>
      </c>
      <c r="G86" s="328">
        <f t="shared" si="2"/>
        <v>-1427186.6666666665</v>
      </c>
    </row>
    <row r="87" spans="1:9" hidden="1" x14ac:dyDescent="0.2">
      <c r="A87" s="313">
        <f t="shared" si="0"/>
        <v>58</v>
      </c>
      <c r="B87" s="309" t="s">
        <v>86</v>
      </c>
      <c r="C87" s="329">
        <f t="shared" si="1"/>
        <v>44599.583333333328</v>
      </c>
      <c r="D87" s="327">
        <f t="shared" si="4"/>
        <v>40459.999999999993</v>
      </c>
      <c r="E87" s="327">
        <f t="shared" si="5"/>
        <v>2333.3333333333326</v>
      </c>
      <c r="F87" s="327">
        <f t="shared" si="3"/>
        <v>1806.2499999999998</v>
      </c>
      <c r="G87" s="328">
        <f t="shared" si="2"/>
        <v>-1471786.2499999998</v>
      </c>
    </row>
    <row r="88" spans="1:9" hidden="1" x14ac:dyDescent="0.2">
      <c r="A88" s="313">
        <f t="shared" si="0"/>
        <v>59</v>
      </c>
      <c r="B88" s="309" t="s">
        <v>87</v>
      </c>
      <c r="C88" s="329">
        <f t="shared" si="1"/>
        <v>44599.583333333328</v>
      </c>
      <c r="D88" s="327">
        <f t="shared" si="4"/>
        <v>40459.999999999993</v>
      </c>
      <c r="E88" s="327">
        <f t="shared" si="5"/>
        <v>2333.3333333333326</v>
      </c>
      <c r="F88" s="327">
        <f t="shared" si="3"/>
        <v>1806.2499999999998</v>
      </c>
      <c r="G88" s="328">
        <f t="shared" si="2"/>
        <v>-1516385.833333333</v>
      </c>
    </row>
    <row r="89" spans="1:9" hidden="1" x14ac:dyDescent="0.2">
      <c r="A89" s="313">
        <f t="shared" si="0"/>
        <v>60</v>
      </c>
      <c r="B89" s="309" t="s">
        <v>88</v>
      </c>
      <c r="C89" s="329">
        <f t="shared" si="1"/>
        <v>44599.583333333328</v>
      </c>
      <c r="D89" s="327">
        <f t="shared" si="4"/>
        <v>40459.999999999993</v>
      </c>
      <c r="E89" s="327">
        <f t="shared" si="5"/>
        <v>2333.3333333333326</v>
      </c>
      <c r="F89" s="327">
        <f t="shared" si="3"/>
        <v>1806.2499999999998</v>
      </c>
      <c r="G89" s="328">
        <f t="shared" si="2"/>
        <v>-1560985.4166666663</v>
      </c>
      <c r="H89" s="330"/>
    </row>
    <row r="90" spans="1:9" hidden="1" x14ac:dyDescent="0.2">
      <c r="A90" s="313">
        <f t="shared" si="0"/>
        <v>61</v>
      </c>
      <c r="B90" s="309" t="s">
        <v>89</v>
      </c>
      <c r="C90" s="329">
        <f t="shared" si="1"/>
        <v>-1495960.4166666684</v>
      </c>
      <c r="D90" s="327">
        <f>(D22+D23)-(SUM(D29:D89))</f>
        <v>-1416100</v>
      </c>
      <c r="E90" s="327">
        <f>D25-(SUM(E29:E89))</f>
        <v>-81666.666666668491</v>
      </c>
      <c r="F90" s="327">
        <f t="shared" si="3"/>
        <v>1806.2499999999998</v>
      </c>
      <c r="G90" s="328">
        <f t="shared" si="2"/>
        <v>-65024.999999997905</v>
      </c>
    </row>
    <row r="91" spans="1:9" x14ac:dyDescent="0.2">
      <c r="A91" s="191"/>
      <c r="B91" s="191"/>
      <c r="C91" s="446"/>
      <c r="D91" s="414"/>
      <c r="E91" s="414"/>
      <c r="F91" s="414"/>
      <c r="G91" s="331"/>
    </row>
    <row r="92" spans="1:9" x14ac:dyDescent="0.2">
      <c r="A92" s="618" t="s">
        <v>113</v>
      </c>
      <c r="B92" s="610"/>
      <c r="C92" s="611"/>
      <c r="D92" s="612"/>
      <c r="E92" s="612"/>
      <c r="F92" s="612"/>
      <c r="G92" s="612"/>
      <c r="H92" s="613"/>
      <c r="I92" s="608"/>
    </row>
    <row r="93" spans="1:9" ht="15" customHeight="1" x14ac:dyDescent="0.2">
      <c r="A93" s="701" t="s">
        <v>531</v>
      </c>
      <c r="B93" s="701"/>
      <c r="C93" s="701"/>
      <c r="D93" s="701"/>
      <c r="E93" s="701"/>
      <c r="F93" s="701"/>
      <c r="G93" s="701"/>
      <c r="H93" s="614"/>
      <c r="I93" s="614"/>
    </row>
    <row r="94" spans="1:9" ht="15" customHeight="1" x14ac:dyDescent="0.2">
      <c r="A94" s="674" t="s">
        <v>610</v>
      </c>
      <c r="B94" s="674"/>
      <c r="C94" s="674"/>
      <c r="D94" s="674"/>
      <c r="E94" s="674"/>
      <c r="F94" s="674"/>
      <c r="G94" s="674"/>
      <c r="H94" s="615"/>
      <c r="I94" s="615"/>
    </row>
    <row r="95" spans="1:9" ht="15" customHeight="1" x14ac:dyDescent="0.2">
      <c r="A95" s="674" t="s">
        <v>532</v>
      </c>
      <c r="B95" s="674"/>
      <c r="C95" s="674"/>
      <c r="D95" s="674"/>
      <c r="E95" s="674"/>
      <c r="F95" s="674"/>
      <c r="G95" s="674"/>
      <c r="H95" s="615"/>
      <c r="I95" s="615"/>
    </row>
    <row r="96" spans="1:9" ht="15" customHeight="1" x14ac:dyDescent="0.2">
      <c r="A96" s="674" t="s">
        <v>533</v>
      </c>
      <c r="B96" s="674"/>
      <c r="C96" s="674"/>
      <c r="D96" s="674"/>
      <c r="E96" s="674"/>
      <c r="F96" s="674"/>
      <c r="G96" s="674"/>
      <c r="H96" s="615"/>
      <c r="I96" s="615"/>
    </row>
    <row r="97" spans="1:9" ht="108" customHeight="1" x14ac:dyDescent="0.2">
      <c r="A97" s="674" t="s">
        <v>684</v>
      </c>
      <c r="B97" s="674"/>
      <c r="C97" s="674"/>
      <c r="D97" s="674"/>
      <c r="E97" s="674"/>
      <c r="F97" s="674"/>
      <c r="G97" s="674"/>
      <c r="H97" s="615"/>
      <c r="I97" s="615"/>
    </row>
    <row r="98" spans="1:9" ht="27" customHeight="1" x14ac:dyDescent="0.2">
      <c r="A98" s="675" t="s">
        <v>683</v>
      </c>
      <c r="B98" s="675"/>
      <c r="C98" s="675"/>
      <c r="D98" s="675"/>
      <c r="E98" s="675"/>
      <c r="F98" s="675"/>
      <c r="G98" s="675"/>
      <c r="H98" s="616"/>
      <c r="I98" s="616"/>
    </row>
    <row r="99" spans="1:9" ht="15" customHeight="1" x14ac:dyDescent="0.2">
      <c r="A99" s="675" t="s">
        <v>685</v>
      </c>
      <c r="B99" s="675"/>
      <c r="C99" s="675"/>
      <c r="D99" s="675"/>
      <c r="E99" s="675"/>
      <c r="F99" s="675"/>
      <c r="G99" s="675"/>
      <c r="H99" s="616"/>
      <c r="I99" s="616"/>
    </row>
    <row r="100" spans="1:9" ht="15" customHeight="1" x14ac:dyDescent="0.2">
      <c r="A100" s="675" t="s">
        <v>686</v>
      </c>
      <c r="B100" s="675"/>
      <c r="C100" s="675"/>
      <c r="D100" s="675"/>
      <c r="E100" s="675"/>
      <c r="F100" s="675"/>
      <c r="G100" s="675"/>
      <c r="H100" s="616"/>
      <c r="I100" s="616"/>
    </row>
    <row r="101" spans="1:9" x14ac:dyDescent="0.2">
      <c r="A101" s="413"/>
      <c r="B101" s="413"/>
      <c r="C101" s="413"/>
      <c r="D101" s="413"/>
      <c r="E101" s="413"/>
      <c r="F101" s="413"/>
      <c r="G101" s="413"/>
      <c r="H101" s="413"/>
    </row>
    <row r="102" spans="1:9" x14ac:dyDescent="0.2">
      <c r="A102" s="619" t="s">
        <v>91</v>
      </c>
    </row>
    <row r="103" spans="1:9" ht="15" customHeight="1" x14ac:dyDescent="0.2"/>
    <row r="104" spans="1:9" ht="15" customHeight="1" x14ac:dyDescent="0.2">
      <c r="A104" s="260"/>
      <c r="B104" s="261"/>
      <c r="F104" s="262"/>
      <c r="G104" s="262"/>
    </row>
    <row r="105" spans="1:9" x14ac:dyDescent="0.2">
      <c r="A105" s="745" t="s">
        <v>422</v>
      </c>
      <c r="B105" s="745"/>
      <c r="E105" s="746" t="s">
        <v>447</v>
      </c>
      <c r="F105" s="746"/>
      <c r="G105" s="746"/>
    </row>
    <row r="106" spans="1:9" x14ac:dyDescent="0.2">
      <c r="A106" s="213"/>
      <c r="B106" s="212"/>
      <c r="C106" s="213"/>
      <c r="D106" s="192"/>
      <c r="E106" s="192"/>
      <c r="F106" s="192"/>
      <c r="G106" s="192"/>
    </row>
  </sheetData>
  <sheetProtection selectLockedCells="1" selectUnlockedCells="1"/>
  <mergeCells count="37">
    <mergeCell ref="B7:C7"/>
    <mergeCell ref="A100:G100"/>
    <mergeCell ref="A93:G93"/>
    <mergeCell ref="A94:G94"/>
    <mergeCell ref="A95:G95"/>
    <mergeCell ref="A96:G96"/>
    <mergeCell ref="A97:G97"/>
    <mergeCell ref="A98:G98"/>
    <mergeCell ref="A99:G99"/>
    <mergeCell ref="B8:C8"/>
    <mergeCell ref="A105:B105"/>
    <mergeCell ref="D22:E22"/>
    <mergeCell ref="D23:E23"/>
    <mergeCell ref="D24:E24"/>
    <mergeCell ref="D26:E26"/>
    <mergeCell ref="E105:G105"/>
    <mergeCell ref="B1:C1"/>
    <mergeCell ref="B3:C3"/>
    <mergeCell ref="B4:C4"/>
    <mergeCell ref="B5:C5"/>
    <mergeCell ref="B6:C6"/>
    <mergeCell ref="B2:C2"/>
    <mergeCell ref="I29:J29"/>
    <mergeCell ref="D21:E21"/>
    <mergeCell ref="D20:E20"/>
    <mergeCell ref="D19:E19"/>
    <mergeCell ref="D15:E15"/>
    <mergeCell ref="D17:E17"/>
    <mergeCell ref="S2:U2"/>
    <mergeCell ref="D16:E16"/>
    <mergeCell ref="D18:E18"/>
    <mergeCell ref="D25:E25"/>
    <mergeCell ref="D14:E14"/>
    <mergeCell ref="I7:J7"/>
    <mergeCell ref="D11:E11"/>
    <mergeCell ref="D12:E12"/>
    <mergeCell ref="D13:E13"/>
  </mergeCells>
  <hyperlinks>
    <hyperlink ref="G6" location="INPUT!A1" display="BACK TO INPUT" xr:uid="{00000000-0004-0000-0E00-000000000000}"/>
  </hyperlinks>
  <printOptions horizontalCentered="1" verticalCentered="1"/>
  <pageMargins left="0.25" right="0.25" top="0.5" bottom="0.5" header="0.3" footer="0.3"/>
  <pageSetup paperSize="195" scale="75" orientation="portrait" r:id="rId1"/>
  <headerFoot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C000"/>
  </sheetPr>
  <dimension ref="A1:M55"/>
  <sheetViews>
    <sheetView showGridLines="0" zoomScaleNormal="100" workbookViewId="0">
      <selection activeCell="A105" sqref="A105:IV65536"/>
    </sheetView>
  </sheetViews>
  <sheetFormatPr baseColWidth="10" defaultColWidth="0" defaultRowHeight="15" x14ac:dyDescent="0.2"/>
  <cols>
    <col min="1" max="1" width="21" style="198" bestFit="1" customWidth="1"/>
    <col min="2" max="2" width="10.33203125" style="198" bestFit="1" customWidth="1"/>
    <col min="3" max="3" width="9.1640625" style="198" customWidth="1"/>
    <col min="4" max="4" width="4.5" style="198" bestFit="1" customWidth="1"/>
    <col min="5" max="5" width="44.5" style="198" customWidth="1"/>
    <col min="6" max="6" width="3.6640625" style="198" customWidth="1"/>
    <col min="7" max="7" width="9.1640625" style="198" hidden="1" customWidth="1"/>
    <col min="8" max="8" width="8" style="198" hidden="1" customWidth="1"/>
    <col min="9" max="13" width="0" style="198" hidden="1" customWidth="1"/>
    <col min="14" max="16384" width="9.1640625" style="198" hidden="1"/>
  </cols>
  <sheetData>
    <row r="1" spans="1:12" ht="20" customHeight="1" x14ac:dyDescent="0.2">
      <c r="D1" s="199"/>
      <c r="E1" s="199"/>
    </row>
    <row r="2" spans="1:12" ht="20" customHeight="1" x14ac:dyDescent="0.2">
      <c r="A2" s="159" t="s">
        <v>2</v>
      </c>
      <c r="B2" s="755" t="str">
        <f>INPUT!D44</f>
        <v>New Buyer</v>
      </c>
      <c r="C2" s="754"/>
      <c r="D2" s="199"/>
      <c r="E2" s="199"/>
      <c r="G2" s="200"/>
      <c r="H2" s="200"/>
      <c r="I2" s="201"/>
      <c r="J2" s="200"/>
    </row>
    <row r="3" spans="1:12" ht="20" customHeight="1" x14ac:dyDescent="0.2">
      <c r="A3" s="202" t="s">
        <v>416</v>
      </c>
      <c r="B3" s="694" t="str">
        <f>INPUT!D45</f>
        <v>Individual</v>
      </c>
      <c r="C3" s="694"/>
      <c r="D3" s="199"/>
      <c r="E3" s="199"/>
      <c r="G3" s="200"/>
      <c r="H3" s="200"/>
      <c r="I3" s="201"/>
      <c r="J3" s="200"/>
    </row>
    <row r="4" spans="1:12" x14ac:dyDescent="0.2">
      <c r="B4" s="203"/>
      <c r="D4" s="199"/>
      <c r="E4" s="204"/>
      <c r="G4" s="200"/>
      <c r="H4" s="200"/>
      <c r="I4" s="201"/>
      <c r="J4" s="200"/>
      <c r="K4" s="205"/>
      <c r="L4" s="201"/>
    </row>
    <row r="5" spans="1:12" ht="16" thickBot="1" x14ac:dyDescent="0.25">
      <c r="B5" s="203"/>
      <c r="D5" s="199"/>
      <c r="E5" s="197" t="s">
        <v>412</v>
      </c>
      <c r="G5" s="200"/>
      <c r="H5" s="200"/>
      <c r="I5" s="201"/>
      <c r="J5" s="200"/>
      <c r="K5" s="205"/>
      <c r="L5" s="201"/>
    </row>
    <row r="6" spans="1:12" ht="19" x14ac:dyDescent="0.25">
      <c r="A6" s="206" t="s">
        <v>462</v>
      </c>
      <c r="B6" s="207"/>
      <c r="C6" s="208"/>
      <c r="D6" s="209"/>
      <c r="E6" s="210"/>
      <c r="G6" s="200"/>
      <c r="H6" s="200">
        <v>1100000</v>
      </c>
      <c r="I6" s="201"/>
      <c r="J6" s="200"/>
      <c r="K6" s="205"/>
      <c r="L6" s="201"/>
    </row>
    <row r="7" spans="1:12" ht="19" x14ac:dyDescent="0.25">
      <c r="A7" s="211"/>
      <c r="B7" s="212"/>
      <c r="C7" s="213"/>
      <c r="D7" s="213"/>
      <c r="E7" s="214" t="s">
        <v>107</v>
      </c>
      <c r="F7" s="200"/>
      <c r="G7" s="200"/>
      <c r="H7" s="200">
        <v>800000</v>
      </c>
      <c r="I7" s="201"/>
      <c r="J7" s="200"/>
      <c r="K7" s="205"/>
    </row>
    <row r="8" spans="1:12" ht="15" customHeight="1" x14ac:dyDescent="0.2">
      <c r="A8" s="215" t="s">
        <v>523</v>
      </c>
      <c r="B8" s="212"/>
      <c r="C8" s="213"/>
      <c r="D8" s="213"/>
      <c r="E8" s="216">
        <f>IF(INPUT!D45=INPUT!S11,H7,H6)</f>
        <v>800000</v>
      </c>
      <c r="F8" s="217"/>
      <c r="G8" s="200"/>
      <c r="H8" s="200"/>
      <c r="I8" s="201"/>
      <c r="J8" s="200"/>
      <c r="K8" s="205"/>
    </row>
    <row r="9" spans="1:12" ht="15" customHeight="1" x14ac:dyDescent="0.2">
      <c r="A9" s="218" t="s">
        <v>261</v>
      </c>
      <c r="B9" s="212"/>
      <c r="C9" s="213"/>
      <c r="D9" s="219">
        <v>0.2</v>
      </c>
      <c r="E9" s="220">
        <f>E8*D9</f>
        <v>160000</v>
      </c>
      <c r="F9" s="221"/>
      <c r="G9" s="200"/>
      <c r="H9" s="200"/>
      <c r="I9" s="201"/>
      <c r="J9" s="200"/>
      <c r="K9" s="205"/>
    </row>
    <row r="10" spans="1:12" s="227" customFormat="1" x14ac:dyDescent="0.2">
      <c r="A10" s="222" t="s">
        <v>524</v>
      </c>
      <c r="B10" s="223"/>
      <c r="C10" s="224"/>
      <c r="D10" s="224"/>
      <c r="E10" s="225">
        <f>E8-E9</f>
        <v>640000</v>
      </c>
      <c r="F10" s="226"/>
      <c r="G10" s="200"/>
      <c r="H10" s="200"/>
      <c r="I10" s="201"/>
      <c r="J10" s="200"/>
      <c r="K10" s="205"/>
      <c r="L10" s="198"/>
    </row>
    <row r="11" spans="1:12" x14ac:dyDescent="0.2">
      <c r="A11" s="753" t="s">
        <v>26</v>
      </c>
      <c r="B11" s="754"/>
      <c r="C11" s="755" t="s">
        <v>27</v>
      </c>
      <c r="D11" s="754"/>
      <c r="E11" s="228" t="s">
        <v>449</v>
      </c>
    </row>
    <row r="12" spans="1:12" s="160" customFormat="1" x14ac:dyDescent="0.2">
      <c r="A12" s="747" t="s">
        <v>29</v>
      </c>
      <c r="B12" s="748"/>
      <c r="C12" s="749">
        <f>'CS1'!C13:D13</f>
        <v>100000</v>
      </c>
      <c r="D12" s="749"/>
      <c r="E12" s="263"/>
    </row>
    <row r="13" spans="1:12" s="160" customFormat="1" ht="16" thickBot="1" x14ac:dyDescent="0.25">
      <c r="A13" s="750" t="s">
        <v>458</v>
      </c>
      <c r="B13" s="751"/>
      <c r="C13" s="752">
        <f>'CS1'!C14:D14</f>
        <v>540000</v>
      </c>
      <c r="D13" s="752"/>
      <c r="E13" s="265" t="s">
        <v>454</v>
      </c>
    </row>
    <row r="14" spans="1:12" ht="16" thickBot="1" x14ac:dyDescent="0.25">
      <c r="A14" s="757"/>
      <c r="B14" s="757"/>
      <c r="C14" s="757"/>
      <c r="D14" s="757"/>
      <c r="E14" s="203"/>
    </row>
    <row r="15" spans="1:12" ht="19" x14ac:dyDescent="0.25">
      <c r="A15" s="206" t="s">
        <v>463</v>
      </c>
      <c r="B15" s="207"/>
      <c r="C15" s="208"/>
      <c r="D15" s="209"/>
      <c r="E15" s="229"/>
      <c r="G15" s="200"/>
      <c r="H15" s="200"/>
      <c r="I15" s="201"/>
      <c r="J15" s="200"/>
      <c r="K15" s="205"/>
      <c r="L15" s="201"/>
    </row>
    <row r="16" spans="1:12" ht="19" x14ac:dyDescent="0.25">
      <c r="A16" s="211"/>
      <c r="B16" s="212"/>
      <c r="C16" s="213"/>
      <c r="D16" s="213"/>
      <c r="E16" s="214" t="s">
        <v>107</v>
      </c>
      <c r="F16" s="200"/>
      <c r="G16" s="200"/>
      <c r="H16" s="200"/>
      <c r="I16" s="201"/>
      <c r="J16" s="200"/>
      <c r="K16" s="205"/>
    </row>
    <row r="17" spans="1:13" ht="15" customHeight="1" x14ac:dyDescent="0.2">
      <c r="A17" s="215" t="s">
        <v>523</v>
      </c>
      <c r="B17" s="212"/>
      <c r="C17" s="213"/>
      <c r="D17" s="213"/>
      <c r="E17" s="216">
        <f>IF(INPUT!D45=INPUT!S11,H7,H6)</f>
        <v>800000</v>
      </c>
      <c r="F17" s="217"/>
      <c r="G17" s="200"/>
      <c r="H17" s="200"/>
      <c r="I17" s="201"/>
      <c r="J17" s="200"/>
      <c r="K17" s="205"/>
    </row>
    <row r="18" spans="1:13" ht="15" customHeight="1" x14ac:dyDescent="0.2">
      <c r="A18" s="218" t="s">
        <v>261</v>
      </c>
      <c r="B18" s="212"/>
      <c r="C18" s="213"/>
      <c r="D18" s="219">
        <v>0.1</v>
      </c>
      <c r="E18" s="216">
        <f>E17*D18</f>
        <v>80000</v>
      </c>
      <c r="F18" s="221"/>
      <c r="G18" s="200"/>
      <c r="H18" s="200"/>
      <c r="I18" s="201"/>
      <c r="J18" s="200"/>
      <c r="K18" s="205"/>
    </row>
    <row r="19" spans="1:13" s="227" customFormat="1" x14ac:dyDescent="0.2">
      <c r="A19" s="222" t="s">
        <v>524</v>
      </c>
      <c r="B19" s="223"/>
      <c r="C19" s="224"/>
      <c r="D19" s="224"/>
      <c r="E19" s="230">
        <f>E17-E18</f>
        <v>720000</v>
      </c>
      <c r="F19" s="226"/>
      <c r="G19" s="200"/>
      <c r="H19" s="200"/>
      <c r="I19" s="201"/>
      <c r="J19" s="200"/>
      <c r="K19" s="205"/>
      <c r="L19" s="198"/>
    </row>
    <row r="20" spans="1:13" x14ac:dyDescent="0.2">
      <c r="A20" s="753" t="s">
        <v>26</v>
      </c>
      <c r="B20" s="754"/>
      <c r="C20" s="755" t="s">
        <v>27</v>
      </c>
      <c r="D20" s="754"/>
      <c r="E20" s="228" t="s">
        <v>449</v>
      </c>
      <c r="G20" s="205"/>
      <c r="H20" s="200"/>
      <c r="I20" s="201"/>
      <c r="J20" s="200"/>
    </row>
    <row r="21" spans="1:13" s="165" customFormat="1" x14ac:dyDescent="0.2">
      <c r="A21" s="747" t="s">
        <v>29</v>
      </c>
      <c r="B21" s="748"/>
      <c r="C21" s="749">
        <f>'CS2'!C13:D13</f>
        <v>25000</v>
      </c>
      <c r="D21" s="749"/>
      <c r="E21" s="263"/>
    </row>
    <row r="22" spans="1:13" s="165" customFormat="1" ht="16" thickBot="1" x14ac:dyDescent="0.25">
      <c r="A22" s="750" t="s">
        <v>458</v>
      </c>
      <c r="B22" s="751"/>
      <c r="C22" s="756">
        <f>'CS2'!C14:D14</f>
        <v>695000</v>
      </c>
      <c r="D22" s="751"/>
      <c r="E22" s="265" t="s">
        <v>453</v>
      </c>
      <c r="F22" s="231"/>
    </row>
    <row r="23" spans="1:13" ht="20" customHeight="1" thickBot="1" x14ac:dyDescent="0.25"/>
    <row r="24" spans="1:13" ht="19" x14ac:dyDescent="0.25">
      <c r="A24" s="206" t="s">
        <v>425</v>
      </c>
      <c r="B24" s="207"/>
      <c r="C24" s="208"/>
      <c r="D24" s="209"/>
      <c r="E24" s="210"/>
      <c r="F24" s="232"/>
      <c r="H24" s="200"/>
      <c r="I24" s="200"/>
      <c r="J24" s="201"/>
      <c r="K24" s="200"/>
      <c r="L24" s="205"/>
      <c r="M24" s="201"/>
    </row>
    <row r="25" spans="1:13" ht="19" x14ac:dyDescent="0.25">
      <c r="A25" s="211"/>
      <c r="B25" s="212"/>
      <c r="C25" s="213"/>
      <c r="D25" s="213"/>
      <c r="E25" s="214" t="s">
        <v>107</v>
      </c>
      <c r="F25" s="233"/>
      <c r="G25" s="200"/>
      <c r="H25" s="200"/>
      <c r="I25" s="200"/>
      <c r="J25" s="201"/>
      <c r="K25" s="200"/>
      <c r="L25" s="205"/>
    </row>
    <row r="26" spans="1:13" ht="15" customHeight="1" x14ac:dyDescent="0.2">
      <c r="A26" s="215" t="s">
        <v>523</v>
      </c>
      <c r="B26" s="212"/>
      <c r="C26" s="213"/>
      <c r="D26" s="213"/>
      <c r="E26" s="216">
        <f>IF(INPUT!D45=INPUT!S11,H7,H6)</f>
        <v>800000</v>
      </c>
      <c r="F26" s="232"/>
      <c r="G26" s="217"/>
      <c r="H26" s="200"/>
      <c r="I26" s="200"/>
      <c r="J26" s="201"/>
      <c r="K26" s="200"/>
      <c r="L26" s="205"/>
    </row>
    <row r="27" spans="1:13" ht="15" customHeight="1" x14ac:dyDescent="0.2">
      <c r="A27" s="218" t="s">
        <v>261</v>
      </c>
      <c r="B27" s="212"/>
      <c r="C27" s="213"/>
      <c r="D27" s="219">
        <v>0.05</v>
      </c>
      <c r="E27" s="216">
        <f>E26*D27</f>
        <v>40000</v>
      </c>
      <c r="F27" s="232"/>
      <c r="G27" s="221"/>
      <c r="H27" s="200"/>
      <c r="I27" s="200"/>
      <c r="J27" s="201"/>
      <c r="K27" s="200"/>
      <c r="L27" s="205"/>
    </row>
    <row r="28" spans="1:13" s="227" customFormat="1" x14ac:dyDescent="0.2">
      <c r="A28" s="222" t="s">
        <v>524</v>
      </c>
      <c r="B28" s="223"/>
      <c r="C28" s="224"/>
      <c r="D28" s="224"/>
      <c r="E28" s="230">
        <f>E26-E27</f>
        <v>760000</v>
      </c>
      <c r="F28" s="234"/>
      <c r="G28" s="226"/>
      <c r="H28" s="200"/>
      <c r="I28" s="200"/>
      <c r="J28" s="201"/>
      <c r="K28" s="200"/>
      <c r="L28" s="205"/>
      <c r="M28" s="198"/>
    </row>
    <row r="29" spans="1:13" x14ac:dyDescent="0.2">
      <c r="A29" s="753" t="s">
        <v>26</v>
      </c>
      <c r="B29" s="754"/>
      <c r="C29" s="755" t="s">
        <v>27</v>
      </c>
      <c r="D29" s="754"/>
      <c r="E29" s="228" t="s">
        <v>449</v>
      </c>
      <c r="F29" s="235"/>
      <c r="H29" s="205"/>
      <c r="I29" s="200"/>
      <c r="J29" s="201"/>
      <c r="K29" s="200"/>
    </row>
    <row r="30" spans="1:13" x14ac:dyDescent="0.2">
      <c r="A30" s="747" t="s">
        <v>29</v>
      </c>
      <c r="B30" s="748"/>
      <c r="C30" s="749">
        <f>'CS3'!C13:D13</f>
        <v>25000</v>
      </c>
      <c r="D30" s="749"/>
      <c r="E30" s="263"/>
    </row>
    <row r="31" spans="1:13" x14ac:dyDescent="0.2">
      <c r="A31" s="747" t="s">
        <v>458</v>
      </c>
      <c r="B31" s="748"/>
      <c r="C31" s="749">
        <f>'CS3'!C14:D14</f>
        <v>165000</v>
      </c>
      <c r="D31" s="749"/>
      <c r="E31" s="263" t="s">
        <v>453</v>
      </c>
    </row>
    <row r="32" spans="1:13" ht="16" thickBot="1" x14ac:dyDescent="0.25">
      <c r="A32" s="750" t="s">
        <v>450</v>
      </c>
      <c r="B32" s="751"/>
      <c r="C32" s="752">
        <f>'CS3'!C15:D15</f>
        <v>47500</v>
      </c>
      <c r="D32" s="752"/>
      <c r="E32" s="264" t="s">
        <v>455</v>
      </c>
    </row>
    <row r="33" spans="1:5" ht="16" thickBot="1" x14ac:dyDescent="0.25"/>
    <row r="34" spans="1:5" ht="19" x14ac:dyDescent="0.25">
      <c r="A34" s="206" t="s">
        <v>426</v>
      </c>
      <c r="B34" s="207"/>
      <c r="C34" s="208"/>
      <c r="D34" s="209"/>
      <c r="E34" s="210"/>
    </row>
    <row r="35" spans="1:5" ht="19" x14ac:dyDescent="0.25">
      <c r="A35" s="211"/>
      <c r="B35" s="212"/>
      <c r="C35" s="213"/>
      <c r="D35" s="213"/>
      <c r="E35" s="214" t="s">
        <v>107</v>
      </c>
    </row>
    <row r="36" spans="1:5" ht="15" customHeight="1" x14ac:dyDescent="0.2">
      <c r="A36" s="215" t="s">
        <v>523</v>
      </c>
      <c r="B36" s="212"/>
      <c r="C36" s="213"/>
      <c r="D36" s="213"/>
      <c r="E36" s="216">
        <f>IF(INPUT!D45=INPUT!S11,H7,H6)</f>
        <v>800000</v>
      </c>
    </row>
    <row r="37" spans="1:5" x14ac:dyDescent="0.2">
      <c r="A37" s="222" t="s">
        <v>524</v>
      </c>
      <c r="B37" s="223"/>
      <c r="C37" s="224"/>
      <c r="D37" s="224"/>
      <c r="E37" s="236">
        <f>E36</f>
        <v>800000</v>
      </c>
    </row>
    <row r="38" spans="1:5" x14ac:dyDescent="0.2">
      <c r="A38" s="753" t="s">
        <v>26</v>
      </c>
      <c r="B38" s="754"/>
      <c r="C38" s="755" t="s">
        <v>27</v>
      </c>
      <c r="D38" s="754"/>
      <c r="E38" s="228" t="s">
        <v>449</v>
      </c>
    </row>
    <row r="39" spans="1:5" x14ac:dyDescent="0.2">
      <c r="A39" s="747" t="s">
        <v>29</v>
      </c>
      <c r="B39" s="748"/>
      <c r="C39" s="749">
        <f>'CS4'!C11:D11</f>
        <v>25000</v>
      </c>
      <c r="D39" s="749"/>
      <c r="E39" s="263"/>
    </row>
    <row r="40" spans="1:5" x14ac:dyDescent="0.2">
      <c r="A40" s="747" t="s">
        <v>458</v>
      </c>
      <c r="B40" s="748"/>
      <c r="C40" s="749">
        <f>'CS4'!C12:D12</f>
        <v>175000</v>
      </c>
      <c r="D40" s="749"/>
      <c r="E40" s="263" t="s">
        <v>453</v>
      </c>
    </row>
    <row r="41" spans="1:5" ht="16" thickBot="1" x14ac:dyDescent="0.25">
      <c r="A41" s="750" t="s">
        <v>450</v>
      </c>
      <c r="B41" s="751"/>
      <c r="C41" s="752">
        <f>'CS4'!C13:D13</f>
        <v>25000</v>
      </c>
      <c r="D41" s="752"/>
      <c r="E41" s="264" t="s">
        <v>456</v>
      </c>
    </row>
    <row r="42" spans="1:5" ht="16" thickBot="1" x14ac:dyDescent="0.25"/>
    <row r="43" spans="1:5" ht="19" x14ac:dyDescent="0.25">
      <c r="A43" s="206" t="s">
        <v>431</v>
      </c>
      <c r="B43" s="207"/>
      <c r="C43" s="208"/>
      <c r="D43" s="209"/>
      <c r="E43" s="210"/>
    </row>
    <row r="44" spans="1:5" ht="19" x14ac:dyDescent="0.25">
      <c r="A44" s="211"/>
      <c r="B44" s="212"/>
      <c r="C44" s="213"/>
      <c r="D44" s="213"/>
      <c r="E44" s="214" t="s">
        <v>107</v>
      </c>
    </row>
    <row r="45" spans="1:5" ht="15" customHeight="1" x14ac:dyDescent="0.2">
      <c r="A45" s="215" t="s">
        <v>523</v>
      </c>
      <c r="B45" s="212"/>
      <c r="C45" s="213"/>
      <c r="D45" s="213"/>
      <c r="E45" s="216">
        <f>IF(INPUT!D45=INPUT!S11,H7,H6)</f>
        <v>800000</v>
      </c>
    </row>
    <row r="46" spans="1:5" ht="15" customHeight="1" x14ac:dyDescent="0.2">
      <c r="A46" s="222" t="s">
        <v>524</v>
      </c>
      <c r="B46" s="223"/>
      <c r="C46" s="224"/>
      <c r="D46" s="224"/>
      <c r="E46" s="236">
        <f>E45</f>
        <v>800000</v>
      </c>
    </row>
    <row r="47" spans="1:5" x14ac:dyDescent="0.2">
      <c r="A47" s="753" t="s">
        <v>26</v>
      </c>
      <c r="B47" s="754"/>
      <c r="C47" s="755" t="s">
        <v>27</v>
      </c>
      <c r="D47" s="754"/>
      <c r="E47" s="228" t="s">
        <v>449</v>
      </c>
    </row>
    <row r="48" spans="1:5" x14ac:dyDescent="0.2">
      <c r="A48" s="747" t="s">
        <v>29</v>
      </c>
      <c r="B48" s="748"/>
      <c r="C48" s="749">
        <f>'CS5'!C11:D11</f>
        <v>25000</v>
      </c>
      <c r="D48" s="749"/>
      <c r="E48" s="263"/>
    </row>
    <row r="49" spans="1:5" x14ac:dyDescent="0.2">
      <c r="A49" s="747" t="s">
        <v>451</v>
      </c>
      <c r="B49" s="748"/>
      <c r="C49" s="749">
        <f>'CS5'!C12:D12</f>
        <v>67500</v>
      </c>
      <c r="D49" s="749"/>
      <c r="E49" s="263" t="s">
        <v>457</v>
      </c>
    </row>
    <row r="50" spans="1:5" ht="16" thickBot="1" x14ac:dyDescent="0.25">
      <c r="A50" s="750" t="s">
        <v>450</v>
      </c>
      <c r="B50" s="751"/>
      <c r="C50" s="752">
        <f>'CS5'!C14:D14</f>
        <v>13333.33</v>
      </c>
      <c r="D50" s="752"/>
      <c r="E50" s="264" t="s">
        <v>459</v>
      </c>
    </row>
    <row r="51" spans="1:5" x14ac:dyDescent="0.2">
      <c r="A51" s="10" t="s">
        <v>113</v>
      </c>
      <c r="B51" s="35"/>
      <c r="C51" s="36"/>
      <c r="D51" s="36"/>
      <c r="E51" s="39"/>
    </row>
    <row r="52" spans="1:5" ht="21.75" customHeight="1" x14ac:dyDescent="0.2">
      <c r="A52" s="722" t="s">
        <v>114</v>
      </c>
      <c r="B52" s="722"/>
      <c r="C52" s="722"/>
      <c r="D52" s="722"/>
      <c r="E52" s="722"/>
    </row>
    <row r="53" spans="1:5" x14ac:dyDescent="0.2">
      <c r="A53" s="40" t="s">
        <v>419</v>
      </c>
      <c r="B53" s="41"/>
      <c r="C53" s="41"/>
      <c r="D53" s="41"/>
      <c r="E53" s="41"/>
    </row>
    <row r="54" spans="1:5" ht="24.75" customHeight="1" x14ac:dyDescent="0.2">
      <c r="A54" s="722" t="s">
        <v>420</v>
      </c>
      <c r="B54" s="722"/>
      <c r="C54" s="722"/>
      <c r="D54" s="722"/>
      <c r="E54" s="722"/>
    </row>
    <row r="55" spans="1:5" x14ac:dyDescent="0.2">
      <c r="A55" s="40" t="s">
        <v>421</v>
      </c>
      <c r="B55" s="42"/>
      <c r="C55" s="42"/>
      <c r="D55" s="42"/>
      <c r="E55" s="42"/>
    </row>
  </sheetData>
  <mergeCells count="42">
    <mergeCell ref="A13:B13"/>
    <mergeCell ref="C13:D13"/>
    <mergeCell ref="A14:B14"/>
    <mergeCell ref="C14:D14"/>
    <mergeCell ref="B2:C2"/>
    <mergeCell ref="B3:C3"/>
    <mergeCell ref="C11:D11"/>
    <mergeCell ref="A11:B11"/>
    <mergeCell ref="A12:B12"/>
    <mergeCell ref="C12:D12"/>
    <mergeCell ref="C20:D20"/>
    <mergeCell ref="C21:D21"/>
    <mergeCell ref="C22:D22"/>
    <mergeCell ref="A21:B21"/>
    <mergeCell ref="A22:B22"/>
    <mergeCell ref="A20:B20"/>
    <mergeCell ref="C29:D29"/>
    <mergeCell ref="A29:B29"/>
    <mergeCell ref="A30:B30"/>
    <mergeCell ref="C30:D30"/>
    <mergeCell ref="A31:B31"/>
    <mergeCell ref="C31:D31"/>
    <mergeCell ref="A32:B32"/>
    <mergeCell ref="C32:D32"/>
    <mergeCell ref="A38:B38"/>
    <mergeCell ref="C38:D38"/>
    <mergeCell ref="A39:B39"/>
    <mergeCell ref="C39:D39"/>
    <mergeCell ref="A40:B40"/>
    <mergeCell ref="C40:D40"/>
    <mergeCell ref="A41:B41"/>
    <mergeCell ref="C41:D41"/>
    <mergeCell ref="A47:B47"/>
    <mergeCell ref="C47:D47"/>
    <mergeCell ref="A52:E52"/>
    <mergeCell ref="A54:E54"/>
    <mergeCell ref="A48:B48"/>
    <mergeCell ref="C48:D48"/>
    <mergeCell ref="A49:B49"/>
    <mergeCell ref="C49:D49"/>
    <mergeCell ref="A50:B50"/>
    <mergeCell ref="C50:D50"/>
  </mergeCells>
  <hyperlinks>
    <hyperlink ref="E5" location="INPUT!A1" display="BACK TO INPUT" xr:uid="{00000000-0004-0000-0F00-000000000000}"/>
  </hyperlinks>
  <printOptions horizontalCentered="1"/>
  <pageMargins left="0.25" right="0.25" top="0.75" bottom="0.75" header="0.3" footer="0.3"/>
  <pageSetup orientation="portrait" r:id="rId1"/>
  <rowBreaks count="1" manualBreakCount="1">
    <brk id="41" max="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C000"/>
    <pageSetUpPr fitToPage="1"/>
  </sheetPr>
  <dimension ref="A1:L24"/>
  <sheetViews>
    <sheetView showGridLines="0" zoomScaleNormal="100" workbookViewId="0">
      <selection activeCell="A105" sqref="A105:IV65536"/>
    </sheetView>
  </sheetViews>
  <sheetFormatPr baseColWidth="10" defaultColWidth="0" defaultRowHeight="15" x14ac:dyDescent="0.2"/>
  <cols>
    <col min="1" max="1" width="15.6640625" style="9" customWidth="1"/>
    <col min="2" max="3" width="20.6640625" style="9" customWidth="1"/>
    <col min="4" max="4" width="10.6640625" style="9" customWidth="1"/>
    <col min="5" max="5" width="20.83203125" style="9" bestFit="1" customWidth="1"/>
    <col min="6" max="6" width="2.6640625" style="9" customWidth="1"/>
    <col min="7" max="7" width="4" style="9" hidden="1" customWidth="1"/>
    <col min="8" max="8" width="8" style="9" hidden="1" customWidth="1"/>
    <col min="9" max="9" width="10.5" style="9" hidden="1" customWidth="1"/>
    <col min="10" max="10" width="9.1640625" style="9" hidden="1" customWidth="1"/>
    <col min="11" max="11" width="6.1640625" style="9" hidden="1" customWidth="1"/>
    <col min="12" max="12" width="23.33203125" style="9" hidden="1" customWidth="1"/>
    <col min="13" max="16384" width="9.1640625" style="9" hidden="1"/>
  </cols>
  <sheetData>
    <row r="1" spans="1:12" ht="20" customHeight="1" x14ac:dyDescent="0.2">
      <c r="D1" s="4"/>
      <c r="E1" s="4"/>
    </row>
    <row r="2" spans="1:12" ht="20" customHeight="1" x14ac:dyDescent="0.2">
      <c r="A2" s="16" t="s">
        <v>2</v>
      </c>
      <c r="B2" s="758" t="str">
        <f>INPUT!D44</f>
        <v>New Buyer</v>
      </c>
      <c r="C2" s="759"/>
      <c r="D2" s="4"/>
      <c r="E2" s="4"/>
      <c r="G2" s="6"/>
      <c r="H2" s="6"/>
      <c r="I2" s="7"/>
      <c r="J2" s="6"/>
    </row>
    <row r="3" spans="1:12" ht="30" customHeight="1" x14ac:dyDescent="0.2">
      <c r="A3" s="3" t="s">
        <v>23</v>
      </c>
      <c r="B3" s="762" t="str">
        <f>INPUT!F45</f>
        <v>100% Paid in 15 days (with 20% discount)</v>
      </c>
      <c r="C3" s="763"/>
      <c r="D3" s="4"/>
      <c r="E3" s="4"/>
      <c r="G3" s="6"/>
      <c r="H3" s="6"/>
      <c r="I3" s="7"/>
      <c r="J3" s="6"/>
    </row>
    <row r="4" spans="1:12" ht="20" customHeight="1" x14ac:dyDescent="0.2">
      <c r="A4" s="44" t="s">
        <v>416</v>
      </c>
      <c r="B4" s="764" t="str">
        <f>INPUT!D45</f>
        <v>Individual</v>
      </c>
      <c r="C4" s="764"/>
      <c r="D4" s="4"/>
      <c r="E4" s="4"/>
      <c r="G4" s="6"/>
      <c r="H4" s="6"/>
      <c r="I4" s="7"/>
      <c r="J4" s="6"/>
    </row>
    <row r="5" spans="1:12" x14ac:dyDescent="0.2">
      <c r="B5" s="43"/>
      <c r="D5" s="4"/>
      <c r="E5" s="194" t="s">
        <v>412</v>
      </c>
      <c r="G5" s="6"/>
      <c r="H5" s="6"/>
      <c r="I5" s="7"/>
      <c r="J5" s="6"/>
      <c r="K5" s="8"/>
      <c r="L5" s="7"/>
    </row>
    <row r="6" spans="1:12" ht="19" x14ac:dyDescent="0.25">
      <c r="A6" s="5" t="s">
        <v>24</v>
      </c>
      <c r="B6" s="43"/>
      <c r="D6" s="4"/>
      <c r="E6" s="4"/>
      <c r="G6" s="6"/>
      <c r="H6" s="6">
        <v>1100000</v>
      </c>
      <c r="I6" s="7"/>
      <c r="J6" s="6"/>
      <c r="K6" s="8"/>
      <c r="L6" s="7"/>
    </row>
    <row r="7" spans="1:12" ht="19" x14ac:dyDescent="0.25">
      <c r="A7" s="5"/>
      <c r="B7" s="43"/>
      <c r="E7" s="195" t="s">
        <v>107</v>
      </c>
      <c r="F7" s="6"/>
      <c r="G7" s="6"/>
      <c r="H7" s="6">
        <v>800000</v>
      </c>
      <c r="I7" s="7"/>
      <c r="J7" s="6"/>
      <c r="K7" s="8"/>
    </row>
    <row r="8" spans="1:12" x14ac:dyDescent="0.2">
      <c r="A8" s="215" t="s">
        <v>523</v>
      </c>
      <c r="B8" s="43"/>
      <c r="E8" s="336">
        <f>IF(INPUT!D45=INPUT!S11,H7,H6)</f>
        <v>800000</v>
      </c>
      <c r="F8" s="23"/>
      <c r="G8" s="6"/>
      <c r="H8" s="6"/>
      <c r="I8" s="7"/>
      <c r="J8" s="6"/>
      <c r="K8" s="8"/>
    </row>
    <row r="9" spans="1:12" x14ac:dyDescent="0.2">
      <c r="A9" s="2" t="s">
        <v>261</v>
      </c>
      <c r="B9" s="43"/>
      <c r="D9" s="14">
        <v>0.2</v>
      </c>
      <c r="E9" s="336">
        <f>E8*D9</f>
        <v>160000</v>
      </c>
      <c r="F9" s="24"/>
      <c r="G9" s="6"/>
      <c r="H9" s="6"/>
      <c r="I9" s="7"/>
      <c r="J9" s="6"/>
      <c r="K9" s="8"/>
    </row>
    <row r="10" spans="1:12" s="15" customFormat="1" x14ac:dyDescent="0.2">
      <c r="A10" s="222" t="s">
        <v>524</v>
      </c>
      <c r="B10" s="19"/>
      <c r="C10" s="20"/>
      <c r="D10" s="20"/>
      <c r="E10" s="337">
        <f>E8-E9</f>
        <v>640000</v>
      </c>
      <c r="F10" s="22"/>
      <c r="G10" s="6"/>
      <c r="H10" s="6"/>
      <c r="I10" s="7"/>
      <c r="J10" s="6"/>
      <c r="K10" s="8"/>
      <c r="L10" s="9"/>
    </row>
    <row r="12" spans="1:12" x14ac:dyDescent="0.2">
      <c r="A12" s="17" t="s">
        <v>25</v>
      </c>
      <c r="B12" s="17" t="s">
        <v>26</v>
      </c>
      <c r="C12" s="758" t="s">
        <v>27</v>
      </c>
      <c r="D12" s="759"/>
      <c r="E12" s="18" t="s">
        <v>28</v>
      </c>
      <c r="G12" s="8"/>
      <c r="H12" s="6"/>
      <c r="I12" s="7"/>
      <c r="J12" s="6"/>
    </row>
    <row r="13" spans="1:12" s="1" customFormat="1" x14ac:dyDescent="0.2">
      <c r="A13" s="44">
        <v>0</v>
      </c>
      <c r="B13" s="44" t="s">
        <v>123</v>
      </c>
      <c r="C13" s="765">
        <v>100000</v>
      </c>
      <c r="D13" s="765"/>
      <c r="E13" s="338">
        <f>E10-C13</f>
        <v>540000</v>
      </c>
    </row>
    <row r="14" spans="1:12" s="1" customFormat="1" ht="34.5" customHeight="1" x14ac:dyDescent="0.2">
      <c r="A14" s="44">
        <v>1</v>
      </c>
      <c r="B14" s="33" t="s">
        <v>460</v>
      </c>
      <c r="C14" s="760">
        <f>E10-C13</f>
        <v>540000</v>
      </c>
      <c r="D14" s="760"/>
      <c r="E14" s="338">
        <f>E13-C14</f>
        <v>0</v>
      </c>
    </row>
    <row r="15" spans="1:12" s="39" customFormat="1" x14ac:dyDescent="0.2">
      <c r="A15" s="10" t="s">
        <v>113</v>
      </c>
      <c r="B15" s="35"/>
      <c r="C15" s="36"/>
      <c r="D15" s="36"/>
      <c r="F15" s="37"/>
      <c r="G15" s="38"/>
      <c r="H15" s="38"/>
      <c r="I15" s="38"/>
    </row>
    <row r="16" spans="1:12" s="39" customFormat="1" ht="29.25" customHeight="1" x14ac:dyDescent="0.2">
      <c r="A16" s="722" t="s">
        <v>114</v>
      </c>
      <c r="B16" s="722"/>
      <c r="C16" s="722"/>
      <c r="D16" s="722"/>
      <c r="E16" s="722"/>
      <c r="F16" s="37"/>
      <c r="G16" s="38"/>
      <c r="H16" s="38"/>
      <c r="I16" s="38"/>
    </row>
    <row r="17" spans="1:9" s="39" customFormat="1" x14ac:dyDescent="0.2">
      <c r="A17" s="40" t="s">
        <v>419</v>
      </c>
      <c r="B17" s="41"/>
      <c r="C17" s="41"/>
      <c r="D17" s="41"/>
      <c r="E17" s="41"/>
      <c r="F17" s="37"/>
      <c r="G17" s="38"/>
      <c r="H17" s="38"/>
      <c r="I17" s="38"/>
    </row>
    <row r="18" spans="1:9" s="39" customFormat="1" ht="29.25" customHeight="1" x14ac:dyDescent="0.2">
      <c r="A18" s="722" t="s">
        <v>420</v>
      </c>
      <c r="B18" s="722"/>
      <c r="C18" s="722"/>
      <c r="D18" s="722"/>
      <c r="E18" s="722"/>
      <c r="F18" s="37"/>
      <c r="G18" s="38"/>
      <c r="H18" s="38"/>
      <c r="I18" s="38"/>
    </row>
    <row r="19" spans="1:9" s="39" customFormat="1" x14ac:dyDescent="0.2">
      <c r="A19" s="40" t="s">
        <v>421</v>
      </c>
      <c r="B19" s="42"/>
      <c r="C19" s="42"/>
      <c r="D19" s="42"/>
      <c r="E19" s="42"/>
      <c r="F19" s="37"/>
      <c r="G19" s="38"/>
      <c r="H19" s="38"/>
      <c r="I19" s="38"/>
    </row>
    <row r="20" spans="1:9" s="39" customFormat="1" x14ac:dyDescent="0.2">
      <c r="B20" s="42"/>
      <c r="C20" s="42"/>
      <c r="D20" s="42"/>
      <c r="E20" s="42"/>
      <c r="F20" s="37"/>
      <c r="G20" s="38"/>
      <c r="H20" s="38"/>
      <c r="I20" s="38"/>
    </row>
    <row r="24" spans="1:9" x14ac:dyDescent="0.2">
      <c r="A24" s="761" t="s">
        <v>422</v>
      </c>
      <c r="B24" s="761"/>
      <c r="C24" s="1"/>
      <c r="D24" s="761" t="s">
        <v>447</v>
      </c>
      <c r="E24" s="761"/>
    </row>
  </sheetData>
  <sheetProtection selectLockedCells="1"/>
  <mergeCells count="10">
    <mergeCell ref="B2:C2"/>
    <mergeCell ref="C14:D14"/>
    <mergeCell ref="D24:E24"/>
    <mergeCell ref="A18:E18"/>
    <mergeCell ref="A16:E16"/>
    <mergeCell ref="A24:B24"/>
    <mergeCell ref="B3:C3"/>
    <mergeCell ref="B4:C4"/>
    <mergeCell ref="C12:D12"/>
    <mergeCell ref="C13:D13"/>
  </mergeCells>
  <hyperlinks>
    <hyperlink ref="E5" location="INPUT!A1" display="BACK TO INPUT" xr:uid="{00000000-0004-0000-1000-000000000000}"/>
  </hyperlinks>
  <printOptions horizontalCentered="1"/>
  <pageMargins left="0.25" right="0.25" top="0.75" bottom="0.75" header="0.3" footer="0.3"/>
  <pageSetup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C000"/>
    <pageSetUpPr fitToPage="1"/>
  </sheetPr>
  <dimension ref="A1:L24"/>
  <sheetViews>
    <sheetView showGridLines="0" zoomScaleNormal="100" workbookViewId="0">
      <selection activeCell="A105" sqref="A105:IV65536"/>
    </sheetView>
  </sheetViews>
  <sheetFormatPr baseColWidth="10" defaultColWidth="0" defaultRowHeight="15" x14ac:dyDescent="0.2"/>
  <cols>
    <col min="1" max="1" width="15.6640625" customWidth="1"/>
    <col min="2" max="3" width="20.6640625" customWidth="1"/>
    <col min="4" max="4" width="10.6640625" customWidth="1"/>
    <col min="5" max="5" width="20.83203125" bestFit="1" customWidth="1"/>
    <col min="6" max="6" width="2.6640625" customWidth="1"/>
    <col min="7" max="7" width="9" hidden="1" customWidth="1"/>
    <col min="8" max="16384" width="9.1640625" hidden="1"/>
  </cols>
  <sheetData>
    <row r="1" spans="1:12" s="9" customFormat="1" ht="20" customHeight="1" x14ac:dyDescent="0.2">
      <c r="D1" s="4"/>
      <c r="E1" s="4"/>
    </row>
    <row r="2" spans="1:12" s="9" customFormat="1" ht="20" customHeight="1" x14ac:dyDescent="0.2">
      <c r="A2" s="16" t="s">
        <v>2</v>
      </c>
      <c r="B2" s="758" t="str">
        <f>INPUT!D44</f>
        <v>New Buyer</v>
      </c>
      <c r="C2" s="759"/>
      <c r="D2" s="4"/>
      <c r="E2" s="4"/>
      <c r="G2" s="6"/>
      <c r="H2" s="6"/>
      <c r="I2" s="7"/>
      <c r="J2" s="6"/>
    </row>
    <row r="3" spans="1:12" s="9" customFormat="1" ht="30" customHeight="1" x14ac:dyDescent="0.2">
      <c r="A3" s="3" t="s">
        <v>23</v>
      </c>
      <c r="B3" s="766" t="str">
        <f>INPUT!F46</f>
        <v>100% Paid in 30 days (with 10% Discount)</v>
      </c>
      <c r="C3" s="767"/>
      <c r="D3" s="4"/>
      <c r="E3" s="4"/>
      <c r="G3" s="6"/>
      <c r="H3" s="6"/>
      <c r="I3" s="7"/>
      <c r="J3" s="6"/>
    </row>
    <row r="4" spans="1:12" s="9" customFormat="1" ht="20" customHeight="1" x14ac:dyDescent="0.2">
      <c r="A4" s="12" t="s">
        <v>416</v>
      </c>
      <c r="B4" s="764" t="str">
        <f>INPUT!D45</f>
        <v>Individual</v>
      </c>
      <c r="C4" s="764"/>
      <c r="D4" s="4"/>
      <c r="E4" s="4"/>
      <c r="G4" s="6"/>
      <c r="H4" s="6"/>
      <c r="I4" s="7"/>
      <c r="J4" s="6"/>
    </row>
    <row r="5" spans="1:12" s="9" customFormat="1" x14ac:dyDescent="0.2">
      <c r="B5" s="28"/>
      <c r="D5" s="4"/>
      <c r="E5" s="194" t="s">
        <v>412</v>
      </c>
      <c r="G5" s="6"/>
      <c r="H5" s="6"/>
      <c r="I5" s="7"/>
      <c r="J5" s="6"/>
      <c r="K5" s="8"/>
      <c r="L5" s="7"/>
    </row>
    <row r="6" spans="1:12" s="9" customFormat="1" ht="19" x14ac:dyDescent="0.25">
      <c r="A6" s="5" t="s">
        <v>24</v>
      </c>
      <c r="B6" s="28"/>
      <c r="D6" s="4"/>
      <c r="G6" s="6"/>
      <c r="H6" s="6">
        <v>1100000</v>
      </c>
      <c r="I6" s="7"/>
      <c r="J6" s="6"/>
      <c r="K6" s="8"/>
      <c r="L6" s="7"/>
    </row>
    <row r="7" spans="1:12" s="9" customFormat="1" ht="19" x14ac:dyDescent="0.25">
      <c r="A7" s="5"/>
      <c r="B7" s="28"/>
      <c r="E7" s="193" t="s">
        <v>107</v>
      </c>
      <c r="F7" s="6"/>
      <c r="G7" s="6"/>
      <c r="H7" s="6">
        <v>800000</v>
      </c>
      <c r="I7" s="7"/>
      <c r="J7" s="6"/>
      <c r="K7" s="8"/>
    </row>
    <row r="8" spans="1:12" s="9" customFormat="1" x14ac:dyDescent="0.2">
      <c r="A8" s="215" t="s">
        <v>523</v>
      </c>
      <c r="B8" s="28"/>
      <c r="E8" s="336">
        <f>IF(INPUT!D45=INPUT!S11,H7,H6)</f>
        <v>800000</v>
      </c>
      <c r="F8" s="23"/>
      <c r="G8" s="6"/>
      <c r="H8" s="6"/>
      <c r="I8" s="7"/>
      <c r="J8" s="6"/>
      <c r="K8" s="8"/>
    </row>
    <row r="9" spans="1:12" s="9" customFormat="1" x14ac:dyDescent="0.2">
      <c r="A9" s="2" t="s">
        <v>261</v>
      </c>
      <c r="B9" s="28"/>
      <c r="D9" s="14">
        <v>0.1</v>
      </c>
      <c r="E9" s="336">
        <f>E8*D9</f>
        <v>80000</v>
      </c>
      <c r="F9" s="24"/>
      <c r="G9" s="6"/>
      <c r="H9" s="6"/>
      <c r="I9" s="7"/>
      <c r="J9" s="6"/>
      <c r="K9" s="8"/>
    </row>
    <row r="10" spans="1:12" s="15" customFormat="1" x14ac:dyDescent="0.2">
      <c r="A10" s="222" t="s">
        <v>524</v>
      </c>
      <c r="B10" s="19"/>
      <c r="C10" s="20"/>
      <c r="D10" s="20"/>
      <c r="E10" s="337">
        <f>E8-E9</f>
        <v>720000</v>
      </c>
      <c r="F10" s="22"/>
      <c r="G10" s="6"/>
      <c r="H10" s="6"/>
      <c r="I10" s="7"/>
      <c r="J10" s="6"/>
      <c r="K10" s="8"/>
      <c r="L10" s="9"/>
    </row>
    <row r="11" spans="1:12" s="9" customFormat="1" x14ac:dyDescent="0.2"/>
    <row r="12" spans="1:12" s="9" customFormat="1" x14ac:dyDescent="0.2">
      <c r="A12" s="17" t="s">
        <v>25</v>
      </c>
      <c r="B12" s="17" t="s">
        <v>26</v>
      </c>
      <c r="C12" s="758" t="s">
        <v>27</v>
      </c>
      <c r="D12" s="759"/>
      <c r="E12" s="18" t="s">
        <v>28</v>
      </c>
      <c r="G12" s="8"/>
      <c r="H12" s="6"/>
      <c r="I12" s="7"/>
      <c r="J12" s="6"/>
    </row>
    <row r="13" spans="1:12" s="1" customFormat="1" x14ac:dyDescent="0.2">
      <c r="A13" s="12">
        <v>0</v>
      </c>
      <c r="B13" s="12" t="s">
        <v>123</v>
      </c>
      <c r="C13" s="765">
        <v>25000</v>
      </c>
      <c r="D13" s="765"/>
      <c r="E13" s="338">
        <f>E10-C13</f>
        <v>695000</v>
      </c>
    </row>
    <row r="14" spans="1:12" s="1" customFormat="1" ht="32.25" customHeight="1" x14ac:dyDescent="0.2">
      <c r="A14" s="12">
        <v>1</v>
      </c>
      <c r="B14" s="33" t="s">
        <v>461</v>
      </c>
      <c r="C14" s="760">
        <f>E10-C13</f>
        <v>695000</v>
      </c>
      <c r="D14" s="760"/>
      <c r="E14" s="338">
        <f>E13-C14</f>
        <v>0</v>
      </c>
      <c r="F14" s="32"/>
    </row>
    <row r="15" spans="1:12" s="39" customFormat="1" x14ac:dyDescent="0.2">
      <c r="A15" s="10" t="s">
        <v>113</v>
      </c>
      <c r="B15" s="35"/>
      <c r="C15" s="36"/>
      <c r="D15" s="36"/>
      <c r="F15" s="37"/>
      <c r="G15" s="38"/>
      <c r="H15" s="38"/>
      <c r="I15" s="38"/>
    </row>
    <row r="16" spans="1:12" s="39" customFormat="1" ht="29.25" customHeight="1" x14ac:dyDescent="0.2">
      <c r="A16" s="722" t="s">
        <v>114</v>
      </c>
      <c r="B16" s="722"/>
      <c r="C16" s="722"/>
      <c r="D16" s="722"/>
      <c r="E16" s="722"/>
      <c r="F16" s="37"/>
      <c r="G16" s="38"/>
      <c r="H16" s="38"/>
      <c r="I16" s="38"/>
    </row>
    <row r="17" spans="1:9" s="39" customFormat="1" x14ac:dyDescent="0.2">
      <c r="A17" s="40" t="s">
        <v>419</v>
      </c>
      <c r="B17" s="41"/>
      <c r="C17" s="41"/>
      <c r="D17" s="41"/>
      <c r="E17" s="41"/>
      <c r="F17" s="37"/>
      <c r="G17" s="38"/>
      <c r="H17" s="38"/>
      <c r="I17" s="38"/>
    </row>
    <row r="18" spans="1:9" s="39" customFormat="1" ht="29.25" customHeight="1" x14ac:dyDescent="0.2">
      <c r="A18" s="722" t="s">
        <v>420</v>
      </c>
      <c r="B18" s="722"/>
      <c r="C18" s="722"/>
      <c r="D18" s="722"/>
      <c r="E18" s="722"/>
      <c r="F18" s="37"/>
      <c r="G18" s="38"/>
      <c r="H18" s="38"/>
      <c r="I18" s="38"/>
    </row>
    <row r="19" spans="1:9" s="39" customFormat="1" x14ac:dyDescent="0.2">
      <c r="A19" s="40" t="s">
        <v>421</v>
      </c>
      <c r="B19" s="42"/>
      <c r="C19" s="42"/>
      <c r="D19" s="42"/>
      <c r="E19" s="42"/>
      <c r="F19" s="37"/>
      <c r="G19" s="38"/>
      <c r="H19" s="38"/>
      <c r="I19" s="38"/>
    </row>
    <row r="20" spans="1:9" s="39" customFormat="1" x14ac:dyDescent="0.2">
      <c r="B20" s="42"/>
      <c r="C20" s="42"/>
      <c r="D20" s="42"/>
      <c r="E20" s="42"/>
      <c r="F20" s="37"/>
      <c r="G20" s="38"/>
      <c r="H20" s="38"/>
      <c r="I20" s="38"/>
    </row>
    <row r="21" spans="1:9" s="9" customFormat="1" x14ac:dyDescent="0.2"/>
    <row r="22" spans="1:9" s="9" customFormat="1" x14ac:dyDescent="0.2"/>
    <row r="23" spans="1:9" s="9" customFormat="1" x14ac:dyDescent="0.2"/>
    <row r="24" spans="1:9" s="9" customFormat="1" x14ac:dyDescent="0.2">
      <c r="A24" s="761" t="s">
        <v>422</v>
      </c>
      <c r="B24" s="761"/>
      <c r="C24" s="1"/>
      <c r="D24" s="761" t="s">
        <v>447</v>
      </c>
      <c r="E24" s="761"/>
    </row>
  </sheetData>
  <sheetProtection selectLockedCells="1"/>
  <mergeCells count="10">
    <mergeCell ref="A16:E16"/>
    <mergeCell ref="A18:E18"/>
    <mergeCell ref="A24:B24"/>
    <mergeCell ref="D24:E24"/>
    <mergeCell ref="B2:C2"/>
    <mergeCell ref="B3:C3"/>
    <mergeCell ref="B4:C4"/>
    <mergeCell ref="C12:D12"/>
    <mergeCell ref="C13:D13"/>
    <mergeCell ref="C14:D14"/>
  </mergeCells>
  <hyperlinks>
    <hyperlink ref="E5" location="INPUT!A1" display="BACK TO INPUT" xr:uid="{00000000-0004-0000-1100-000000000000}"/>
  </hyperlinks>
  <printOptions horizontalCentered="1"/>
  <pageMargins left="0.25" right="0.25"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FFC000"/>
    <pageSetUpPr fitToPage="1"/>
  </sheetPr>
  <dimension ref="A1:M36"/>
  <sheetViews>
    <sheetView showGridLines="0" zoomScaleNormal="100" workbookViewId="0">
      <selection activeCell="A105" sqref="A105:IV65536"/>
    </sheetView>
  </sheetViews>
  <sheetFormatPr baseColWidth="10" defaultColWidth="0" defaultRowHeight="15" x14ac:dyDescent="0.2"/>
  <cols>
    <col min="1" max="3" width="15.6640625" style="9" customWidth="1"/>
    <col min="4" max="4" width="10.6640625" style="9" customWidth="1"/>
    <col min="5" max="5" width="20.83203125" style="9" bestFit="1" customWidth="1"/>
    <col min="6" max="6" width="2.6640625" style="151" customWidth="1"/>
    <col min="7" max="16384" width="9.1640625" style="9" hidden="1"/>
  </cols>
  <sheetData>
    <row r="1" spans="1:13" ht="20" customHeight="1" x14ac:dyDescent="0.2">
      <c r="D1" s="4"/>
      <c r="E1" s="4"/>
      <c r="F1" s="13"/>
    </row>
    <row r="2" spans="1:13" ht="20" customHeight="1" x14ac:dyDescent="0.2">
      <c r="A2" s="16" t="s">
        <v>2</v>
      </c>
      <c r="B2" s="758" t="str">
        <f>INPUT!D44</f>
        <v>New Buyer</v>
      </c>
      <c r="C2" s="759"/>
      <c r="D2" s="4"/>
      <c r="E2" s="4"/>
      <c r="F2" s="13"/>
      <c r="H2" s="6"/>
      <c r="I2" s="6"/>
      <c r="J2" s="7"/>
      <c r="K2" s="6"/>
    </row>
    <row r="3" spans="1:13" ht="30" customHeight="1" x14ac:dyDescent="0.2">
      <c r="A3" s="3" t="s">
        <v>23</v>
      </c>
      <c r="B3" s="762" t="str">
        <f>INPUT!F47</f>
        <v>Spot 25% / 75% in 12 mos. (with 5% Discount)</v>
      </c>
      <c r="C3" s="763"/>
      <c r="D3" s="4"/>
      <c r="E3" s="30"/>
      <c r="F3" s="145"/>
      <c r="H3" s="6"/>
      <c r="I3" s="6"/>
      <c r="J3" s="7"/>
      <c r="K3" s="6"/>
    </row>
    <row r="4" spans="1:13" ht="20" customHeight="1" x14ac:dyDescent="0.2">
      <c r="A4" s="44" t="s">
        <v>416</v>
      </c>
      <c r="B4" s="768" t="str">
        <f>INPUT!D45</f>
        <v>Individual</v>
      </c>
      <c r="C4" s="768"/>
      <c r="D4" s="4"/>
      <c r="E4" s="4"/>
      <c r="F4" s="13"/>
      <c r="H4" s="6"/>
      <c r="I4" s="6"/>
      <c r="J4" s="7"/>
      <c r="K4" s="6"/>
    </row>
    <row r="5" spans="1:13" x14ac:dyDescent="0.2">
      <c r="B5" s="43"/>
      <c r="D5" s="4"/>
      <c r="E5" s="194" t="s">
        <v>412</v>
      </c>
      <c r="F5" s="143"/>
      <c r="H5" s="6"/>
      <c r="I5" s="6"/>
      <c r="J5" s="7"/>
      <c r="K5" s="6"/>
      <c r="L5" s="8"/>
      <c r="M5" s="7"/>
    </row>
    <row r="6" spans="1:13" ht="19" x14ac:dyDescent="0.25">
      <c r="A6" s="5" t="s">
        <v>24</v>
      </c>
      <c r="B6" s="43"/>
      <c r="D6" s="4"/>
      <c r="E6" s="4"/>
      <c r="F6" s="13"/>
      <c r="H6" s="6"/>
      <c r="I6" s="6">
        <v>1100000</v>
      </c>
      <c r="J6" s="7"/>
      <c r="K6" s="6"/>
      <c r="L6" s="8"/>
      <c r="M6" s="7"/>
    </row>
    <row r="7" spans="1:13" ht="19" x14ac:dyDescent="0.25">
      <c r="A7" s="5"/>
      <c r="B7" s="43"/>
      <c r="E7" s="193" t="s">
        <v>107</v>
      </c>
      <c r="F7" s="144"/>
      <c r="G7" s="6"/>
      <c r="H7" s="6"/>
      <c r="I7" s="6">
        <v>800000</v>
      </c>
      <c r="J7" s="7"/>
      <c r="K7" s="6"/>
      <c r="L7" s="8"/>
    </row>
    <row r="8" spans="1:13" x14ac:dyDescent="0.2">
      <c r="A8" s="215" t="s">
        <v>523</v>
      </c>
      <c r="B8" s="43"/>
      <c r="E8" s="336">
        <f>IF(INPUT!D45=INPUT!S11,I7,I6)</f>
        <v>800000</v>
      </c>
      <c r="F8" s="13"/>
      <c r="G8" s="23"/>
      <c r="H8" s="6"/>
      <c r="I8" s="6"/>
      <c r="J8" s="7"/>
      <c r="K8" s="6"/>
      <c r="L8" s="8"/>
    </row>
    <row r="9" spans="1:13" x14ac:dyDescent="0.2">
      <c r="A9" s="2" t="s">
        <v>261</v>
      </c>
      <c r="B9" s="43"/>
      <c r="D9" s="14">
        <v>0.05</v>
      </c>
      <c r="E9" s="336">
        <f>E8*D9</f>
        <v>40000</v>
      </c>
      <c r="F9" s="13"/>
      <c r="G9" s="24"/>
      <c r="H9" s="6"/>
      <c r="I9" s="6"/>
      <c r="J9" s="7"/>
      <c r="K9" s="6"/>
      <c r="L9" s="8"/>
    </row>
    <row r="10" spans="1:13" s="15" customFormat="1" x14ac:dyDescent="0.2">
      <c r="A10" s="222" t="s">
        <v>524</v>
      </c>
      <c r="B10" s="19"/>
      <c r="C10" s="20"/>
      <c r="D10" s="20"/>
      <c r="E10" s="337">
        <f>E8-E9</f>
        <v>760000</v>
      </c>
      <c r="F10" s="145"/>
      <c r="G10" s="22"/>
      <c r="H10" s="6"/>
      <c r="I10" s="6"/>
      <c r="J10" s="7"/>
      <c r="K10" s="6"/>
      <c r="L10" s="8"/>
      <c r="M10" s="9"/>
    </row>
    <row r="12" spans="1:13" x14ac:dyDescent="0.2">
      <c r="A12" s="17" t="s">
        <v>25</v>
      </c>
      <c r="B12" s="17" t="s">
        <v>26</v>
      </c>
      <c r="C12" s="758" t="s">
        <v>27</v>
      </c>
      <c r="D12" s="759"/>
      <c r="E12" s="18" t="s">
        <v>28</v>
      </c>
      <c r="F12" s="146"/>
      <c r="H12" s="8"/>
      <c r="I12" s="6"/>
      <c r="J12" s="7"/>
      <c r="K12" s="6"/>
    </row>
    <row r="13" spans="1:13" x14ac:dyDescent="0.2">
      <c r="A13" s="44">
        <v>0</v>
      </c>
      <c r="B13" s="44" t="s">
        <v>123</v>
      </c>
      <c r="C13" s="765">
        <v>25000</v>
      </c>
      <c r="D13" s="765"/>
      <c r="E13" s="338">
        <f>E10-C13</f>
        <v>735000</v>
      </c>
      <c r="F13" s="157"/>
    </row>
    <row r="14" spans="1:13" x14ac:dyDescent="0.2">
      <c r="A14" s="44">
        <v>1</v>
      </c>
      <c r="B14" s="44" t="s">
        <v>458</v>
      </c>
      <c r="C14" s="760">
        <f>E10*G14-C13</f>
        <v>165000</v>
      </c>
      <c r="D14" s="760"/>
      <c r="E14" s="338">
        <f>E13-C14</f>
        <v>570000</v>
      </c>
      <c r="F14" s="157"/>
      <c r="G14" s="14">
        <v>0.25</v>
      </c>
    </row>
    <row r="15" spans="1:13" x14ac:dyDescent="0.2">
      <c r="A15" s="44">
        <v>2</v>
      </c>
      <c r="B15" s="29" t="s">
        <v>30</v>
      </c>
      <c r="C15" s="765">
        <f>(E10*G15)/H15</f>
        <v>47500</v>
      </c>
      <c r="D15" s="765"/>
      <c r="E15" s="338">
        <f t="shared" ref="E15:E26" si="0">E14-C15</f>
        <v>522500</v>
      </c>
      <c r="F15" s="157"/>
      <c r="G15" s="14">
        <v>0.75</v>
      </c>
      <c r="H15" s="9">
        <v>12</v>
      </c>
    </row>
    <row r="16" spans="1:13" x14ac:dyDescent="0.2">
      <c r="A16" s="44">
        <v>3</v>
      </c>
      <c r="B16" s="29" t="s">
        <v>31</v>
      </c>
      <c r="C16" s="765">
        <f>C15</f>
        <v>47500</v>
      </c>
      <c r="D16" s="765"/>
      <c r="E16" s="338">
        <f t="shared" si="0"/>
        <v>475000</v>
      </c>
      <c r="F16" s="157"/>
    </row>
    <row r="17" spans="1:10" x14ac:dyDescent="0.2">
      <c r="A17" s="44">
        <v>4</v>
      </c>
      <c r="B17" s="29" t="s">
        <v>32</v>
      </c>
      <c r="C17" s="765">
        <f t="shared" ref="C17:C22" si="1">C16</f>
        <v>47500</v>
      </c>
      <c r="D17" s="765"/>
      <c r="E17" s="338">
        <f t="shared" si="0"/>
        <v>427500</v>
      </c>
      <c r="F17" s="157"/>
    </row>
    <row r="18" spans="1:10" x14ac:dyDescent="0.2">
      <c r="A18" s="44">
        <v>5</v>
      </c>
      <c r="B18" s="29" t="s">
        <v>33</v>
      </c>
      <c r="C18" s="765">
        <f t="shared" si="1"/>
        <v>47500</v>
      </c>
      <c r="D18" s="765"/>
      <c r="E18" s="338">
        <f t="shared" si="0"/>
        <v>380000</v>
      </c>
      <c r="F18" s="157"/>
    </row>
    <row r="19" spans="1:10" x14ac:dyDescent="0.2">
      <c r="A19" s="44">
        <v>6</v>
      </c>
      <c r="B19" s="29" t="s">
        <v>34</v>
      </c>
      <c r="C19" s="765">
        <f t="shared" si="1"/>
        <v>47500</v>
      </c>
      <c r="D19" s="765"/>
      <c r="E19" s="338">
        <f t="shared" si="0"/>
        <v>332500</v>
      </c>
      <c r="F19" s="157"/>
    </row>
    <row r="20" spans="1:10" x14ac:dyDescent="0.2">
      <c r="A20" s="44">
        <v>7</v>
      </c>
      <c r="B20" s="29" t="s">
        <v>35</v>
      </c>
      <c r="C20" s="765">
        <f t="shared" si="1"/>
        <v>47500</v>
      </c>
      <c r="D20" s="765"/>
      <c r="E20" s="338">
        <f t="shared" si="0"/>
        <v>285000</v>
      </c>
      <c r="F20" s="157"/>
    </row>
    <row r="21" spans="1:10" x14ac:dyDescent="0.2">
      <c r="A21" s="44">
        <v>8</v>
      </c>
      <c r="B21" s="29" t="s">
        <v>36</v>
      </c>
      <c r="C21" s="765">
        <f t="shared" si="1"/>
        <v>47500</v>
      </c>
      <c r="D21" s="765"/>
      <c r="E21" s="338">
        <f t="shared" si="0"/>
        <v>237500</v>
      </c>
      <c r="F21" s="157"/>
    </row>
    <row r="22" spans="1:10" x14ac:dyDescent="0.2">
      <c r="A22" s="44">
        <v>9</v>
      </c>
      <c r="B22" s="29" t="s">
        <v>37</v>
      </c>
      <c r="C22" s="765">
        <f t="shared" si="1"/>
        <v>47500</v>
      </c>
      <c r="D22" s="765"/>
      <c r="E22" s="338">
        <f t="shared" si="0"/>
        <v>190000</v>
      </c>
      <c r="F22" s="157"/>
    </row>
    <row r="23" spans="1:10" x14ac:dyDescent="0.2">
      <c r="A23" s="44">
        <v>10</v>
      </c>
      <c r="B23" s="29" t="s">
        <v>38</v>
      </c>
      <c r="C23" s="765">
        <f>C22</f>
        <v>47500</v>
      </c>
      <c r="D23" s="765"/>
      <c r="E23" s="338">
        <f t="shared" si="0"/>
        <v>142500</v>
      </c>
      <c r="F23" s="157"/>
    </row>
    <row r="24" spans="1:10" x14ac:dyDescent="0.2">
      <c r="A24" s="44">
        <v>11</v>
      </c>
      <c r="B24" s="29" t="s">
        <v>39</v>
      </c>
      <c r="C24" s="765">
        <f>C23</f>
        <v>47500</v>
      </c>
      <c r="D24" s="765"/>
      <c r="E24" s="338">
        <f t="shared" si="0"/>
        <v>95000</v>
      </c>
      <c r="F24" s="157"/>
    </row>
    <row r="25" spans="1:10" x14ac:dyDescent="0.2">
      <c r="A25" s="44">
        <v>12</v>
      </c>
      <c r="B25" s="29" t="s">
        <v>40</v>
      </c>
      <c r="C25" s="765">
        <f>C24</f>
        <v>47500</v>
      </c>
      <c r="D25" s="765"/>
      <c r="E25" s="338">
        <f t="shared" si="0"/>
        <v>47500</v>
      </c>
      <c r="F25" s="157"/>
    </row>
    <row r="26" spans="1:10" x14ac:dyDescent="0.2">
      <c r="A26" s="44">
        <v>13</v>
      </c>
      <c r="B26" s="29" t="s">
        <v>41</v>
      </c>
      <c r="C26" s="765">
        <f>C25</f>
        <v>47500</v>
      </c>
      <c r="D26" s="765"/>
      <c r="E26" s="338">
        <f t="shared" si="0"/>
        <v>0</v>
      </c>
      <c r="F26" s="157"/>
    </row>
    <row r="27" spans="1:10" s="39" customFormat="1" x14ac:dyDescent="0.2">
      <c r="A27" s="10" t="s">
        <v>113</v>
      </c>
      <c r="B27" s="35"/>
      <c r="C27" s="36"/>
      <c r="D27" s="36"/>
      <c r="G27" s="37"/>
      <c r="H27" s="38"/>
      <c r="I27" s="38"/>
      <c r="J27" s="38"/>
    </row>
    <row r="28" spans="1:10" s="39" customFormat="1" ht="29.25" customHeight="1" x14ac:dyDescent="0.2">
      <c r="A28" s="722" t="s">
        <v>114</v>
      </c>
      <c r="B28" s="722"/>
      <c r="C28" s="722"/>
      <c r="D28" s="722"/>
      <c r="E28" s="722"/>
      <c r="F28" s="147"/>
      <c r="G28" s="37"/>
      <c r="H28" s="38"/>
      <c r="I28" s="38"/>
      <c r="J28" s="38"/>
    </row>
    <row r="29" spans="1:10" s="39" customFormat="1" x14ac:dyDescent="0.2">
      <c r="A29" s="40" t="s">
        <v>419</v>
      </c>
      <c r="B29" s="41"/>
      <c r="C29" s="41"/>
      <c r="D29" s="41"/>
      <c r="E29" s="41"/>
      <c r="F29" s="148"/>
      <c r="G29" s="37"/>
      <c r="H29" s="38"/>
      <c r="I29" s="38"/>
      <c r="J29" s="38"/>
    </row>
    <row r="30" spans="1:10" s="39" customFormat="1" ht="29.25" customHeight="1" x14ac:dyDescent="0.2">
      <c r="A30" s="722" t="s">
        <v>420</v>
      </c>
      <c r="B30" s="722"/>
      <c r="C30" s="722"/>
      <c r="D30" s="722"/>
      <c r="E30" s="722"/>
      <c r="F30" s="147"/>
      <c r="G30" s="37"/>
      <c r="H30" s="38"/>
      <c r="I30" s="38"/>
      <c r="J30" s="38"/>
    </row>
    <row r="31" spans="1:10" s="39" customFormat="1" x14ac:dyDescent="0.2">
      <c r="A31" s="40" t="s">
        <v>421</v>
      </c>
      <c r="B31" s="42"/>
      <c r="C31" s="42"/>
      <c r="D31" s="42"/>
      <c r="E31" s="42"/>
      <c r="F31" s="149"/>
      <c r="G31" s="37"/>
      <c r="H31" s="38"/>
      <c r="I31" s="38"/>
      <c r="J31" s="38"/>
    </row>
    <row r="32" spans="1:10" s="39" customFormat="1" x14ac:dyDescent="0.2">
      <c r="B32" s="42"/>
      <c r="C32" s="42"/>
      <c r="D32" s="42"/>
      <c r="E32" s="42"/>
      <c r="F32" s="149"/>
      <c r="G32" s="37"/>
      <c r="H32" s="38"/>
      <c r="I32" s="38"/>
      <c r="J32" s="38"/>
    </row>
    <row r="36" spans="1:6" x14ac:dyDescent="0.2">
      <c r="A36" s="761" t="s">
        <v>422</v>
      </c>
      <c r="B36" s="761"/>
      <c r="C36" s="1"/>
      <c r="D36" s="761" t="s">
        <v>447</v>
      </c>
      <c r="E36" s="761"/>
      <c r="F36" s="150"/>
    </row>
  </sheetData>
  <sheetProtection selectLockedCells="1"/>
  <mergeCells count="22">
    <mergeCell ref="C14:D14"/>
    <mergeCell ref="B2:C2"/>
    <mergeCell ref="B3:C3"/>
    <mergeCell ref="B4:C4"/>
    <mergeCell ref="C12:D12"/>
    <mergeCell ref="C13:D13"/>
    <mergeCell ref="C15:D15"/>
    <mergeCell ref="C16:D16"/>
    <mergeCell ref="C17:D17"/>
    <mergeCell ref="C18:D18"/>
    <mergeCell ref="C19:D19"/>
    <mergeCell ref="A28:E28"/>
    <mergeCell ref="A30:E30"/>
    <mergeCell ref="C20:D20"/>
    <mergeCell ref="A36:B36"/>
    <mergeCell ref="D36:E36"/>
    <mergeCell ref="C21:D21"/>
    <mergeCell ref="C22:D22"/>
    <mergeCell ref="C23:D23"/>
    <mergeCell ref="C24:D24"/>
    <mergeCell ref="C25:D25"/>
    <mergeCell ref="C26:D26"/>
  </mergeCells>
  <hyperlinks>
    <hyperlink ref="E5" location="INPUT!A1" display="BACK TO INPUT" xr:uid="{00000000-0004-0000-1200-000000000000}"/>
  </hyperlinks>
  <printOptions horizontalCentered="1"/>
  <pageMargins left="0.25" right="0.25"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00000"/>
    <pageSetUpPr fitToPage="1"/>
  </sheetPr>
  <dimension ref="A1:S234"/>
  <sheetViews>
    <sheetView showGridLines="0" tabSelected="1" zoomScale="85" zoomScaleNormal="85" zoomScaleSheetLayoutView="100" workbookViewId="0">
      <selection activeCell="D18" sqref="D18"/>
    </sheetView>
  </sheetViews>
  <sheetFormatPr baseColWidth="10" defaultColWidth="0" defaultRowHeight="15" zeroHeight="1" x14ac:dyDescent="0.2"/>
  <cols>
    <col min="1" max="1" width="3" style="26" customWidth="1"/>
    <col min="2" max="2" width="5" style="26" customWidth="1"/>
    <col min="3" max="3" width="25.33203125" style="26" customWidth="1"/>
    <col min="4" max="4" width="21" style="26" customWidth="1"/>
    <col min="5" max="5" width="9.1640625" style="26" customWidth="1"/>
    <col min="6" max="6" width="30.6640625" style="26" customWidth="1"/>
    <col min="7" max="7" width="31.6640625" style="26" customWidth="1"/>
    <col min="8" max="8" width="22.33203125" style="26" customWidth="1"/>
    <col min="9" max="9" width="8.5" style="26" customWidth="1"/>
    <col min="10" max="11" width="8.6640625" style="26" hidden="1" customWidth="1"/>
    <col min="12" max="12" width="21.6640625" style="26" hidden="1" customWidth="1"/>
    <col min="13" max="13" width="8.6640625" style="26" hidden="1" customWidth="1"/>
    <col min="14" max="14" width="13.5" style="54" hidden="1" customWidth="1"/>
    <col min="15" max="15" width="11.33203125" style="54" hidden="1" customWidth="1"/>
    <col min="16" max="16" width="16.6640625" style="54" hidden="1" customWidth="1"/>
    <col min="17" max="17" width="16.5" style="54" hidden="1" customWidth="1"/>
    <col min="18" max="18" width="4.5" style="51" hidden="1" customWidth="1"/>
    <col min="19" max="19" width="9.83203125" style="51" hidden="1" customWidth="1"/>
    <col min="20" max="16384" width="8.6640625" style="26" hidden="1"/>
  </cols>
  <sheetData>
    <row r="1" spans="1:19" ht="15" customHeight="1" x14ac:dyDescent="0.2">
      <c r="A1" s="81"/>
      <c r="B1" s="81"/>
    </row>
    <row r="2" spans="1:19" ht="5" customHeight="1" x14ac:dyDescent="0.2">
      <c r="A2" s="81"/>
      <c r="B2" s="45"/>
      <c r="C2" s="45"/>
      <c r="D2" s="45"/>
      <c r="E2" s="45"/>
      <c r="F2" s="45"/>
      <c r="G2" s="45"/>
      <c r="H2" s="45"/>
    </row>
    <row r="3" spans="1:19" x14ac:dyDescent="0.2">
      <c r="B3" s="45"/>
      <c r="C3" s="46" t="s">
        <v>0</v>
      </c>
      <c r="D3" s="45"/>
      <c r="E3" s="45"/>
      <c r="F3" s="45"/>
      <c r="G3" s="45"/>
      <c r="H3" s="45"/>
    </row>
    <row r="4" spans="1:19" x14ac:dyDescent="0.2">
      <c r="B4" s="45"/>
      <c r="C4" s="45" t="s">
        <v>411</v>
      </c>
      <c r="D4" s="45"/>
      <c r="E4" s="45"/>
      <c r="F4" s="45"/>
      <c r="G4" s="45"/>
      <c r="H4" s="45"/>
    </row>
    <row r="5" spans="1:19" x14ac:dyDescent="0.2">
      <c r="B5" s="45"/>
      <c r="C5" s="45" t="s">
        <v>440</v>
      </c>
      <c r="D5" s="45"/>
      <c r="E5" s="45"/>
      <c r="F5" s="45"/>
      <c r="G5" s="45"/>
      <c r="H5" s="45"/>
    </row>
    <row r="6" spans="1:19" x14ac:dyDescent="0.2">
      <c r="B6" s="45"/>
      <c r="C6" s="45" t="s">
        <v>441</v>
      </c>
      <c r="D6" s="45"/>
      <c r="E6" s="45"/>
      <c r="F6" s="45"/>
      <c r="G6" s="45"/>
      <c r="H6" s="45"/>
    </row>
    <row r="7" spans="1:19" x14ac:dyDescent="0.2">
      <c r="B7" s="45"/>
      <c r="C7" s="45" t="s">
        <v>444</v>
      </c>
      <c r="D7" s="45"/>
      <c r="E7" s="45"/>
      <c r="F7" s="45"/>
      <c r="G7" s="45"/>
      <c r="H7" s="45"/>
    </row>
    <row r="8" spans="1:19" x14ac:dyDescent="0.2">
      <c r="B8" s="45"/>
      <c r="C8" s="69" t="s">
        <v>442</v>
      </c>
      <c r="D8" s="45"/>
      <c r="E8" s="45"/>
      <c r="F8" s="45"/>
      <c r="G8" s="45"/>
      <c r="H8" s="45"/>
    </row>
    <row r="9" spans="1:19" x14ac:dyDescent="0.2">
      <c r="B9" s="45"/>
      <c r="C9" s="69" t="s">
        <v>443</v>
      </c>
      <c r="D9" s="45"/>
      <c r="E9" s="45"/>
      <c r="F9" s="45"/>
      <c r="G9" s="45"/>
      <c r="H9" s="45"/>
    </row>
    <row r="10" spans="1:19" ht="5" customHeight="1" x14ac:dyDescent="0.2">
      <c r="B10" s="45"/>
      <c r="C10" s="45"/>
      <c r="D10" s="45"/>
      <c r="E10" s="45"/>
      <c r="F10" s="45"/>
      <c r="G10" s="45"/>
      <c r="H10" s="45"/>
    </row>
    <row r="11" spans="1:19" x14ac:dyDescent="0.2">
      <c r="L11" s="321" t="s">
        <v>503</v>
      </c>
      <c r="M11" s="321"/>
      <c r="N11" s="53" t="s">
        <v>107</v>
      </c>
      <c r="O11" s="281" t="s">
        <v>590</v>
      </c>
      <c r="P11" s="53" t="s">
        <v>105</v>
      </c>
      <c r="Q11" s="53" t="s">
        <v>3</v>
      </c>
      <c r="R11" s="282"/>
      <c r="S11" s="53" t="s">
        <v>417</v>
      </c>
    </row>
    <row r="12" spans="1:19" ht="16" x14ac:dyDescent="0.2">
      <c r="L12" s="322" t="s">
        <v>108</v>
      </c>
      <c r="M12" s="321"/>
      <c r="N12" s="283" t="s">
        <v>108</v>
      </c>
      <c r="O12" s="270" t="s">
        <v>536</v>
      </c>
      <c r="P12" s="284"/>
      <c r="Q12" s="285" t="s">
        <v>100</v>
      </c>
      <c r="R12" s="55">
        <v>0.01</v>
      </c>
      <c r="S12" s="286" t="s">
        <v>418</v>
      </c>
    </row>
    <row r="13" spans="1:19" s="48" customFormat="1" ht="25" customHeight="1" x14ac:dyDescent="0.2">
      <c r="C13" s="645" t="s">
        <v>588</v>
      </c>
      <c r="D13" s="646"/>
      <c r="E13" s="646"/>
      <c r="F13" s="646"/>
      <c r="G13" s="647"/>
      <c r="L13" s="322" t="s">
        <v>109</v>
      </c>
      <c r="M13" s="320"/>
      <c r="N13" s="283" t="s">
        <v>109</v>
      </c>
      <c r="O13" s="270" t="s">
        <v>537</v>
      </c>
      <c r="P13" s="54"/>
      <c r="Q13" s="285" t="s">
        <v>126</v>
      </c>
      <c r="R13" s="55">
        <v>0.02</v>
      </c>
      <c r="S13" s="287"/>
    </row>
    <row r="14" spans="1:19" ht="16" x14ac:dyDescent="0.2">
      <c r="F14" s="50"/>
      <c r="G14" s="50"/>
      <c r="L14" s="344" t="s">
        <v>506</v>
      </c>
      <c r="M14" s="321"/>
      <c r="N14" s="283" t="s">
        <v>596</v>
      </c>
      <c r="O14" s="270" t="s">
        <v>538</v>
      </c>
      <c r="Q14" s="285" t="s">
        <v>125</v>
      </c>
      <c r="R14" s="55">
        <v>0.03</v>
      </c>
    </row>
    <row r="15" spans="1:19" x14ac:dyDescent="0.2">
      <c r="L15" s="344" t="s">
        <v>507</v>
      </c>
      <c r="M15" s="321"/>
      <c r="N15" s="280"/>
      <c r="O15" s="270" t="s">
        <v>539</v>
      </c>
      <c r="R15" s="55">
        <v>0.04</v>
      </c>
    </row>
    <row r="16" spans="1:19" ht="21" customHeight="1" x14ac:dyDescent="0.2">
      <c r="C16" s="51" t="s">
        <v>2</v>
      </c>
      <c r="D16" s="64"/>
      <c r="F16" s="654" t="s">
        <v>589</v>
      </c>
      <c r="G16" s="655"/>
      <c r="L16" s="344" t="s">
        <v>508</v>
      </c>
      <c r="M16" s="321"/>
      <c r="N16" s="280"/>
      <c r="O16" s="270" t="s">
        <v>540</v>
      </c>
      <c r="R16" s="55">
        <v>0.05</v>
      </c>
    </row>
    <row r="17" spans="2:19" s="51" customFormat="1" ht="21" customHeight="1" x14ac:dyDescent="0.2">
      <c r="C17" s="51" t="s">
        <v>3</v>
      </c>
      <c r="D17" s="64" t="s">
        <v>100</v>
      </c>
      <c r="E17" s="52"/>
      <c r="F17" s="656" t="s">
        <v>593</v>
      </c>
      <c r="G17" s="657"/>
      <c r="N17" s="280">
        <v>0</v>
      </c>
      <c r="O17" s="270" t="s">
        <v>541</v>
      </c>
      <c r="P17" s="54"/>
      <c r="Q17" s="54"/>
      <c r="R17" s="55">
        <v>0.06</v>
      </c>
    </row>
    <row r="18" spans="2:19" s="51" customFormat="1" ht="21" customHeight="1" x14ac:dyDescent="0.2">
      <c r="C18" s="56" t="s">
        <v>591</v>
      </c>
      <c r="D18" s="64" t="s">
        <v>556</v>
      </c>
      <c r="E18" s="52"/>
      <c r="F18" s="658" t="s">
        <v>594</v>
      </c>
      <c r="G18" s="659"/>
      <c r="N18" s="280">
        <v>350000</v>
      </c>
      <c r="O18" s="270" t="s">
        <v>542</v>
      </c>
      <c r="P18" s="54"/>
      <c r="Q18" s="54"/>
      <c r="R18" s="55">
        <v>7.0000000000000007E-2</v>
      </c>
    </row>
    <row r="19" spans="2:19" s="51" customFormat="1" ht="21" customHeight="1" x14ac:dyDescent="0.2">
      <c r="C19" s="51" t="s">
        <v>603</v>
      </c>
      <c r="D19" s="617">
        <f>IF(VLOOKUP($D$18,'SOLA Pricelist'!$B$10:$Q$62,16,FALSE)="Available",VLOOKUP(INPUT!$D$18,'SOLA Pricelist'!$B$10:$Q$62,6,FALSE),"N/A")</f>
        <v>300</v>
      </c>
      <c r="E19" s="52"/>
      <c r="F19" s="658" t="s">
        <v>592</v>
      </c>
      <c r="G19" s="659"/>
      <c r="N19" s="280">
        <v>525000</v>
      </c>
      <c r="O19" s="270" t="s">
        <v>543</v>
      </c>
      <c r="P19" s="54"/>
      <c r="Q19" s="54"/>
      <c r="R19" s="55">
        <v>0.08</v>
      </c>
    </row>
    <row r="20" spans="2:19" s="51" customFormat="1" ht="21" customHeight="1" x14ac:dyDescent="0.2">
      <c r="C20" s="51" t="s">
        <v>681</v>
      </c>
      <c r="D20" s="275" t="str">
        <f>IF(VLOOKUP($D$18,'SOLA Pricelist'!$B$10:$Q$62,16,FALSE)="Available",VLOOKUP(INPUT!$D$18,'SOLA Pricelist'!$B$10:$Q$62,8,FALSE),"N/A")</f>
        <v>Parkview</v>
      </c>
      <c r="E20" s="52"/>
      <c r="F20" s="656" t="s">
        <v>692</v>
      </c>
      <c r="G20" s="657"/>
      <c r="H20" s="395"/>
      <c r="N20" s="280" t="s">
        <v>415</v>
      </c>
      <c r="O20" s="270" t="s">
        <v>544</v>
      </c>
      <c r="P20" s="54"/>
      <c r="Q20" s="54"/>
      <c r="R20" s="55">
        <v>0.1</v>
      </c>
    </row>
    <row r="21" spans="2:19" s="51" customFormat="1" ht="21" customHeight="1" x14ac:dyDescent="0.2">
      <c r="C21" s="51" t="s">
        <v>111</v>
      </c>
      <c r="D21" s="276">
        <f>IF(VLOOKUP($D$18,'SOLA Pricelist'!$B$10:$Q$62,16,FALSE)="Available",VLOOKUP(INPUT!$D$18,'SOLA Pricelist'!$B$10:$Q$62,13,FALSE),"N/A")</f>
        <v>11984000</v>
      </c>
      <c r="E21" s="52"/>
      <c r="N21" s="54"/>
      <c r="O21" s="270" t="s">
        <v>545</v>
      </c>
      <c r="P21" s="54"/>
      <c r="Q21" s="54"/>
      <c r="R21" s="55">
        <v>0.11</v>
      </c>
    </row>
    <row r="22" spans="2:19" s="51" customFormat="1" ht="21" customHeight="1" x14ac:dyDescent="0.2">
      <c r="C22" s="51" t="s">
        <v>124</v>
      </c>
      <c r="D22" s="64" t="s">
        <v>108</v>
      </c>
      <c r="E22" s="52"/>
      <c r="N22" s="54"/>
      <c r="O22" s="270" t="s">
        <v>546</v>
      </c>
      <c r="P22" s="59"/>
      <c r="Q22" s="54"/>
      <c r="R22" s="55">
        <v>0.12</v>
      </c>
    </row>
    <row r="23" spans="2:19" ht="19.5" hidden="1" customHeight="1" x14ac:dyDescent="0.2">
      <c r="C23" s="632" t="s">
        <v>691</v>
      </c>
      <c r="D23" s="633" t="s">
        <v>109</v>
      </c>
      <c r="O23" s="270" t="s">
        <v>547</v>
      </c>
      <c r="R23" s="55">
        <v>0.13</v>
      </c>
    </row>
    <row r="24" spans="2:19" hidden="1" x14ac:dyDescent="0.2">
      <c r="C24" s="56" t="s">
        <v>509</v>
      </c>
      <c r="D24" s="631" t="s">
        <v>109</v>
      </c>
      <c r="N24" s="53" t="s">
        <v>508</v>
      </c>
      <c r="O24" s="270" t="s">
        <v>599</v>
      </c>
      <c r="R24" s="55"/>
    </row>
    <row r="25" spans="2:19" hidden="1" x14ac:dyDescent="0.2">
      <c r="B25" s="60"/>
      <c r="C25" s="56" t="s">
        <v>606</v>
      </c>
      <c r="D25" s="64" t="s">
        <v>109</v>
      </c>
      <c r="N25" s="280" t="s">
        <v>507</v>
      </c>
      <c r="O25" s="270" t="s">
        <v>600</v>
      </c>
      <c r="R25" s="288">
        <v>0.14000000000000001</v>
      </c>
    </row>
    <row r="26" spans="2:19" s="60" customFormat="1" hidden="1" x14ac:dyDescent="0.2">
      <c r="B26" s="26"/>
      <c r="C26" s="26"/>
      <c r="D26" s="26"/>
      <c r="E26" s="26"/>
      <c r="F26" s="26"/>
      <c r="G26" s="26"/>
      <c r="N26" s="59"/>
      <c r="O26" s="270" t="s">
        <v>601</v>
      </c>
      <c r="P26" s="54"/>
      <c r="Q26" s="59"/>
      <c r="R26" s="288">
        <v>0.15</v>
      </c>
      <c r="S26" s="289"/>
    </row>
    <row r="27" spans="2:19" ht="24" hidden="1" x14ac:dyDescent="0.2">
      <c r="C27" s="317" t="s">
        <v>1</v>
      </c>
      <c r="D27" s="318"/>
      <c r="E27" s="318"/>
      <c r="F27" s="318"/>
      <c r="G27" s="319"/>
      <c r="O27" s="270" t="s">
        <v>548</v>
      </c>
    </row>
    <row r="28" spans="2:19" hidden="1" x14ac:dyDescent="0.2">
      <c r="B28" s="51"/>
      <c r="F28" s="50"/>
      <c r="G28" s="50"/>
      <c r="O28" s="270" t="s">
        <v>549</v>
      </c>
    </row>
    <row r="29" spans="2:19" s="51" customFormat="1" ht="16" hidden="1" thickBot="1" x14ac:dyDescent="0.25">
      <c r="C29" s="26"/>
      <c r="D29" s="61"/>
      <c r="E29" s="61"/>
      <c r="F29" s="62"/>
      <c r="G29" s="62"/>
      <c r="N29" s="54"/>
      <c r="O29" s="270" t="s">
        <v>550</v>
      </c>
      <c r="P29" s="54"/>
      <c r="Q29" s="54"/>
    </row>
    <row r="30" spans="2:19" s="51" customFormat="1" hidden="1" x14ac:dyDescent="0.2">
      <c r="C30" s="51" t="s">
        <v>2</v>
      </c>
      <c r="D30" s="64"/>
      <c r="E30" s="52"/>
      <c r="F30" s="641" t="s">
        <v>435</v>
      </c>
      <c r="G30" s="66" t="s">
        <v>415</v>
      </c>
      <c r="N30" s="54"/>
      <c r="O30" s="270" t="s">
        <v>551</v>
      </c>
      <c r="P30" s="54"/>
      <c r="Q30" s="54"/>
    </row>
    <row r="31" spans="2:19" s="51" customFormat="1" ht="16" hidden="1" thickBot="1" x14ac:dyDescent="0.25">
      <c r="C31" s="51" t="s">
        <v>3</v>
      </c>
      <c r="D31" s="64" t="s">
        <v>100</v>
      </c>
      <c r="E31" s="52"/>
      <c r="F31" s="652"/>
      <c r="G31" s="67">
        <v>0.15</v>
      </c>
      <c r="N31" s="54"/>
      <c r="O31" s="270" t="s">
        <v>552</v>
      </c>
      <c r="P31" s="54"/>
      <c r="Q31" s="54"/>
    </row>
    <row r="32" spans="2:19" s="51" customFormat="1" hidden="1" x14ac:dyDescent="0.2">
      <c r="C32" s="56" t="s">
        <v>99</v>
      </c>
      <c r="D32" s="64" t="s">
        <v>483</v>
      </c>
      <c r="E32" s="52"/>
      <c r="F32" s="641" t="s">
        <v>436</v>
      </c>
      <c r="G32" s="66" t="s">
        <v>415</v>
      </c>
      <c r="N32" s="54"/>
      <c r="O32" s="270" t="s">
        <v>553</v>
      </c>
      <c r="P32" s="54"/>
      <c r="Q32" s="54"/>
    </row>
    <row r="33" spans="2:17" s="51" customFormat="1" ht="16" hidden="1" thickBot="1" x14ac:dyDescent="0.25">
      <c r="C33" s="51" t="s">
        <v>98</v>
      </c>
      <c r="D33" s="57" t="e">
        <f>VLOOKUP($D$32,#REF!,10,FALSE)</f>
        <v>#REF!</v>
      </c>
      <c r="E33" s="52"/>
      <c r="F33" s="653"/>
      <c r="G33" s="68">
        <v>0.12</v>
      </c>
      <c r="N33" s="54"/>
      <c r="O33" s="270" t="s">
        <v>554</v>
      </c>
      <c r="P33" s="54"/>
      <c r="Q33" s="54"/>
    </row>
    <row r="34" spans="2:17" s="51" customFormat="1" hidden="1" x14ac:dyDescent="0.2">
      <c r="C34" s="51" t="s">
        <v>10</v>
      </c>
      <c r="D34" s="57" t="e">
        <f>VLOOKUP($D$32,#REF!,6,FALSE)</f>
        <v>#REF!</v>
      </c>
      <c r="E34" s="52"/>
      <c r="F34" s="641" t="s">
        <v>439</v>
      </c>
      <c r="G34" s="66" t="s">
        <v>415</v>
      </c>
      <c r="N34" s="54"/>
      <c r="O34" s="270" t="s">
        <v>555</v>
      </c>
      <c r="P34" s="54"/>
      <c r="Q34" s="54"/>
    </row>
    <row r="35" spans="2:17" s="51" customFormat="1" ht="16" hidden="1" thickBot="1" x14ac:dyDescent="0.25">
      <c r="C35" s="51" t="s">
        <v>112</v>
      </c>
      <c r="D35" s="57" t="e">
        <f>VLOOKUP($D$32,#REF!,4,FALSE)</f>
        <v>#REF!</v>
      </c>
      <c r="E35" s="52"/>
      <c r="F35" s="643"/>
      <c r="G35" s="67">
        <v>0.06</v>
      </c>
      <c r="N35" s="54"/>
      <c r="O35" s="270" t="s">
        <v>556</v>
      </c>
      <c r="P35" s="54"/>
      <c r="Q35" s="54"/>
    </row>
    <row r="36" spans="2:17" s="51" customFormat="1" hidden="1" x14ac:dyDescent="0.2">
      <c r="C36" s="51" t="s">
        <v>127</v>
      </c>
      <c r="D36" s="58" t="e">
        <f>VLOOKUP($D$32,#REF!,44,FALSE)</f>
        <v>#REF!</v>
      </c>
      <c r="E36" s="52"/>
      <c r="F36" s="648" t="s">
        <v>437</v>
      </c>
      <c r="G36" s="649"/>
      <c r="N36" s="54"/>
      <c r="O36" s="270" t="s">
        <v>557</v>
      </c>
      <c r="P36" s="54"/>
      <c r="Q36" s="54"/>
    </row>
    <row r="37" spans="2:17" s="51" customFormat="1" ht="16" hidden="1" thickBot="1" x14ac:dyDescent="0.25">
      <c r="C37" s="51" t="s">
        <v>124</v>
      </c>
      <c r="D37" s="65" t="s">
        <v>109</v>
      </c>
      <c r="E37" s="52"/>
      <c r="F37" s="650"/>
      <c r="G37" s="651"/>
      <c r="H37" s="52"/>
      <c r="I37" s="52"/>
      <c r="N37" s="54"/>
      <c r="O37" s="270" t="s">
        <v>558</v>
      </c>
      <c r="P37" s="54"/>
      <c r="Q37" s="54"/>
    </row>
    <row r="38" spans="2:17" s="51" customFormat="1" hidden="1" x14ac:dyDescent="0.2">
      <c r="B38" s="26"/>
      <c r="D38" s="64">
        <v>525000</v>
      </c>
      <c r="E38" s="52"/>
      <c r="F38" s="641" t="s">
        <v>438</v>
      </c>
      <c r="G38" s="642"/>
      <c r="H38" s="52"/>
      <c r="I38" s="52"/>
      <c r="N38" s="54"/>
      <c r="O38" s="270" t="s">
        <v>559</v>
      </c>
      <c r="P38" s="54"/>
      <c r="Q38" s="54"/>
    </row>
    <row r="39" spans="2:17" ht="16" hidden="1" thickBot="1" x14ac:dyDescent="0.25">
      <c r="B39" s="61"/>
      <c r="C39" s="51"/>
      <c r="D39" s="51"/>
      <c r="E39" s="51"/>
      <c r="F39" s="643"/>
      <c r="G39" s="644"/>
      <c r="H39" s="61"/>
      <c r="I39" s="61"/>
      <c r="O39" s="270" t="s">
        <v>560</v>
      </c>
    </row>
    <row r="40" spans="2:17" x14ac:dyDescent="0.2">
      <c r="B40" s="61"/>
      <c r="H40" s="61"/>
      <c r="I40" s="61"/>
      <c r="O40" s="270" t="s">
        <v>561</v>
      </c>
    </row>
    <row r="41" spans="2:17" ht="24" x14ac:dyDescent="0.2">
      <c r="B41" s="61"/>
      <c r="C41" s="664" t="s">
        <v>445</v>
      </c>
      <c r="D41" s="664"/>
      <c r="E41" s="664"/>
      <c r="F41" s="664"/>
      <c r="G41" s="664"/>
      <c r="H41" s="61"/>
      <c r="I41" s="61"/>
      <c r="O41" s="270" t="s">
        <v>562</v>
      </c>
    </row>
    <row r="42" spans="2:17" ht="10" customHeight="1" x14ac:dyDescent="0.2">
      <c r="B42" s="61"/>
      <c r="H42" s="61"/>
      <c r="I42" s="61"/>
      <c r="O42" s="270" t="s">
        <v>563</v>
      </c>
    </row>
    <row r="43" spans="2:17" ht="20" customHeight="1" thickBot="1" x14ac:dyDescent="0.25">
      <c r="B43" s="51"/>
      <c r="H43" s="61"/>
      <c r="I43" s="61"/>
      <c r="O43" s="270" t="s">
        <v>564</v>
      </c>
    </row>
    <row r="44" spans="2:17" s="51" customFormat="1" ht="20" customHeight="1" thickBot="1" x14ac:dyDescent="0.25">
      <c r="C44" s="51" t="s">
        <v>2</v>
      </c>
      <c r="D44" s="64" t="s">
        <v>100</v>
      </c>
      <c r="E44" s="26"/>
      <c r="F44" s="669" t="s">
        <v>448</v>
      </c>
      <c r="G44" s="670"/>
      <c r="H44" s="52"/>
      <c r="I44" s="52"/>
      <c r="N44" s="54"/>
      <c r="O44" s="270" t="s">
        <v>565</v>
      </c>
      <c r="P44" s="54"/>
      <c r="Q44" s="54"/>
    </row>
    <row r="45" spans="2:17" s="51" customFormat="1" ht="20" customHeight="1" thickBot="1" x14ac:dyDescent="0.25">
      <c r="C45" s="56" t="s">
        <v>416</v>
      </c>
      <c r="D45" s="64" t="s">
        <v>417</v>
      </c>
      <c r="F45" s="662" t="s">
        <v>423</v>
      </c>
      <c r="G45" s="663"/>
      <c r="H45" s="52"/>
      <c r="I45" s="52"/>
      <c r="N45" s="54"/>
      <c r="O45" s="270" t="s">
        <v>566</v>
      </c>
      <c r="P45" s="54"/>
      <c r="Q45" s="54"/>
    </row>
    <row r="46" spans="2:17" s="51" customFormat="1" ht="20" customHeight="1" thickBot="1" x14ac:dyDescent="0.25">
      <c r="F46" s="660" t="s">
        <v>424</v>
      </c>
      <c r="G46" s="661"/>
      <c r="H46" s="52"/>
      <c r="I46" s="52"/>
      <c r="N46" s="54"/>
      <c r="O46" s="270" t="s">
        <v>567</v>
      </c>
      <c r="P46" s="54"/>
      <c r="Q46" s="54"/>
    </row>
    <row r="47" spans="2:17" s="51" customFormat="1" ht="20" customHeight="1" thickBot="1" x14ac:dyDescent="0.25">
      <c r="F47" s="639" t="s">
        <v>425</v>
      </c>
      <c r="G47" s="640"/>
      <c r="H47" s="52"/>
      <c r="I47" s="52"/>
      <c r="N47" s="54"/>
      <c r="O47" s="270" t="s">
        <v>568</v>
      </c>
      <c r="P47" s="54"/>
      <c r="Q47" s="54"/>
    </row>
    <row r="48" spans="2:17" s="51" customFormat="1" ht="20" customHeight="1" thickBot="1" x14ac:dyDescent="0.25">
      <c r="F48" s="639" t="s">
        <v>426</v>
      </c>
      <c r="G48" s="640"/>
      <c r="N48" s="54"/>
      <c r="O48" s="270" t="s">
        <v>569</v>
      </c>
      <c r="P48" s="54"/>
      <c r="Q48" s="54"/>
    </row>
    <row r="49" spans="2:17" s="51" customFormat="1" ht="20" customHeight="1" thickBot="1" x14ac:dyDescent="0.25">
      <c r="B49" s="26"/>
      <c r="F49" s="667" t="s">
        <v>431</v>
      </c>
      <c r="G49" s="668"/>
      <c r="N49" s="54"/>
      <c r="O49" s="270" t="s">
        <v>570</v>
      </c>
      <c r="P49" s="54"/>
      <c r="Q49" s="54"/>
    </row>
    <row r="50" spans="2:17" ht="10" customHeight="1" x14ac:dyDescent="0.2">
      <c r="C50" s="51"/>
      <c r="D50" s="51"/>
      <c r="E50" s="51"/>
      <c r="F50" s="51"/>
      <c r="G50" s="51"/>
      <c r="O50" s="270" t="s">
        <v>571</v>
      </c>
    </row>
    <row r="51" spans="2:17" ht="10" customHeight="1" x14ac:dyDescent="0.2">
      <c r="B51" s="362"/>
      <c r="H51" s="61"/>
      <c r="O51" s="270" t="s">
        <v>572</v>
      </c>
    </row>
    <row r="52" spans="2:17" x14ac:dyDescent="0.2">
      <c r="B52" s="61"/>
      <c r="H52" s="362"/>
      <c r="O52" s="270" t="s">
        <v>573</v>
      </c>
    </row>
    <row r="53" spans="2:17" x14ac:dyDescent="0.2">
      <c r="B53" s="61"/>
      <c r="C53" s="63"/>
      <c r="D53" s="63"/>
      <c r="E53" s="63"/>
      <c r="F53" s="63"/>
      <c r="G53" s="63"/>
      <c r="H53" s="61"/>
      <c r="O53" s="270" t="s">
        <v>574</v>
      </c>
    </row>
    <row r="54" spans="2:17" x14ac:dyDescent="0.2">
      <c r="B54" s="61"/>
      <c r="O54" s="270" t="s">
        <v>575</v>
      </c>
    </row>
    <row r="55" spans="2:17" x14ac:dyDescent="0.2">
      <c r="O55" s="270" t="s">
        <v>576</v>
      </c>
    </row>
    <row r="56" spans="2:17" x14ac:dyDescent="0.2">
      <c r="O56" s="270" t="s">
        <v>577</v>
      </c>
    </row>
    <row r="57" spans="2:17" hidden="1" x14ac:dyDescent="0.2">
      <c r="O57" s="270" t="s">
        <v>578</v>
      </c>
    </row>
    <row r="58" spans="2:17" hidden="1" x14ac:dyDescent="0.2">
      <c r="O58" s="270" t="s">
        <v>579</v>
      </c>
    </row>
    <row r="59" spans="2:17" hidden="1" x14ac:dyDescent="0.2">
      <c r="O59" s="270" t="s">
        <v>580</v>
      </c>
    </row>
    <row r="60" spans="2:17" hidden="1" x14ac:dyDescent="0.2">
      <c r="O60" s="270" t="s">
        <v>581</v>
      </c>
    </row>
    <row r="61" spans="2:17" hidden="1" x14ac:dyDescent="0.2">
      <c r="O61" s="270" t="s">
        <v>582</v>
      </c>
    </row>
    <row r="62" spans="2:17" hidden="1" x14ac:dyDescent="0.2">
      <c r="O62" s="270" t="s">
        <v>583</v>
      </c>
    </row>
    <row r="63" spans="2:17" hidden="1" x14ac:dyDescent="0.2">
      <c r="O63" s="270" t="s">
        <v>584</v>
      </c>
    </row>
    <row r="64" spans="2:17" hidden="1" x14ac:dyDescent="0.2">
      <c r="O64" s="270" t="s">
        <v>585</v>
      </c>
    </row>
    <row r="65" spans="7:15" hidden="1" x14ac:dyDescent="0.2">
      <c r="O65" s="348"/>
    </row>
    <row r="66" spans="7:15" hidden="1" x14ac:dyDescent="0.2">
      <c r="G66" s="665" t="s">
        <v>595</v>
      </c>
      <c r="H66" s="666"/>
      <c r="O66" s="348"/>
    </row>
    <row r="67" spans="7:15" hidden="1" x14ac:dyDescent="0.2">
      <c r="G67" s="656" t="s">
        <v>687</v>
      </c>
      <c r="H67" s="657"/>
      <c r="O67" s="348"/>
    </row>
    <row r="68" spans="7:15" hidden="1" x14ac:dyDescent="0.2">
      <c r="O68" s="348"/>
    </row>
    <row r="69" spans="7:15" hidden="1" x14ac:dyDescent="0.2">
      <c r="O69" s="348"/>
    </row>
    <row r="70" spans="7:15" hidden="1" x14ac:dyDescent="0.2">
      <c r="O70" s="348"/>
    </row>
    <row r="71" spans="7:15" hidden="1" x14ac:dyDescent="0.2">
      <c r="O71" s="348"/>
    </row>
    <row r="72" spans="7:15" hidden="1" x14ac:dyDescent="0.2">
      <c r="O72" s="348"/>
    </row>
    <row r="73" spans="7:15" hidden="1" x14ac:dyDescent="0.2">
      <c r="O73" s="348"/>
    </row>
    <row r="74" spans="7:15" hidden="1" x14ac:dyDescent="0.2">
      <c r="O74" s="348"/>
    </row>
    <row r="75" spans="7:15" hidden="1" x14ac:dyDescent="0.2">
      <c r="O75" s="348"/>
    </row>
    <row r="76" spans="7:15" hidden="1" x14ac:dyDescent="0.2">
      <c r="O76" s="348"/>
    </row>
    <row r="77" spans="7:15" hidden="1" x14ac:dyDescent="0.2">
      <c r="O77" s="348"/>
    </row>
    <row r="78" spans="7:15" hidden="1" x14ac:dyDescent="0.2">
      <c r="O78" s="348"/>
    </row>
    <row r="79" spans="7:15" hidden="1" x14ac:dyDescent="0.2">
      <c r="O79" s="348"/>
    </row>
    <row r="80" spans="7:15" hidden="1" x14ac:dyDescent="0.2">
      <c r="O80" s="348"/>
    </row>
    <row r="81" spans="15:15" hidden="1" x14ac:dyDescent="0.2">
      <c r="O81" s="348"/>
    </row>
    <row r="82" spans="15:15" hidden="1" x14ac:dyDescent="0.2">
      <c r="O82" s="348"/>
    </row>
    <row r="83" spans="15:15" hidden="1" x14ac:dyDescent="0.2">
      <c r="O83" s="348"/>
    </row>
    <row r="84" spans="15:15" hidden="1" x14ac:dyDescent="0.2">
      <c r="O84" s="348"/>
    </row>
    <row r="85" spans="15:15" hidden="1" x14ac:dyDescent="0.2">
      <c r="O85" s="348"/>
    </row>
    <row r="86" spans="15:15" hidden="1" x14ac:dyDescent="0.2">
      <c r="O86" s="348"/>
    </row>
    <row r="87" spans="15:15" hidden="1" x14ac:dyDescent="0.2">
      <c r="O87" s="348"/>
    </row>
    <row r="88" spans="15:15" hidden="1" x14ac:dyDescent="0.2">
      <c r="O88" s="348"/>
    </row>
    <row r="89" spans="15:15" hidden="1" x14ac:dyDescent="0.2">
      <c r="O89" s="348"/>
    </row>
    <row r="90" spans="15:15" hidden="1" x14ac:dyDescent="0.2">
      <c r="O90" s="348"/>
    </row>
    <row r="91" spans="15:15" hidden="1" x14ac:dyDescent="0.2">
      <c r="O91" s="348"/>
    </row>
    <row r="92" spans="15:15" hidden="1" x14ac:dyDescent="0.2">
      <c r="O92" s="348"/>
    </row>
    <row r="93" spans="15:15" hidden="1" x14ac:dyDescent="0.2">
      <c r="O93" s="348"/>
    </row>
    <row r="94" spans="15:15" hidden="1" x14ac:dyDescent="0.2">
      <c r="O94" s="348"/>
    </row>
    <row r="95" spans="15:15" hidden="1" x14ac:dyDescent="0.2">
      <c r="O95" s="348"/>
    </row>
    <row r="96" spans="15:15" hidden="1" x14ac:dyDescent="0.2">
      <c r="O96" s="348"/>
    </row>
    <row r="97" spans="15:15" hidden="1" x14ac:dyDescent="0.2">
      <c r="O97" s="348"/>
    </row>
    <row r="98" spans="15:15" hidden="1" x14ac:dyDescent="0.2">
      <c r="O98" s="348"/>
    </row>
    <row r="99" spans="15:15" hidden="1" x14ac:dyDescent="0.2">
      <c r="O99" s="348"/>
    </row>
    <row r="100" spans="15:15" hidden="1" x14ac:dyDescent="0.2">
      <c r="O100" s="348"/>
    </row>
    <row r="101" spans="15:15" hidden="1" x14ac:dyDescent="0.2">
      <c r="O101" s="348"/>
    </row>
    <row r="102" spans="15:15" hidden="1" x14ac:dyDescent="0.2">
      <c r="O102" s="348"/>
    </row>
    <row r="103" spans="15:15" hidden="1" x14ac:dyDescent="0.2">
      <c r="O103" s="348"/>
    </row>
    <row r="104" spans="15:15" hidden="1" x14ac:dyDescent="0.2">
      <c r="O104" s="348"/>
    </row>
    <row r="105" spans="15:15" hidden="1" x14ac:dyDescent="0.2">
      <c r="O105" s="348"/>
    </row>
    <row r="106" spans="15:15" hidden="1" x14ac:dyDescent="0.2">
      <c r="O106" s="348"/>
    </row>
    <row r="107" spans="15:15" hidden="1" x14ac:dyDescent="0.2">
      <c r="O107" s="348"/>
    </row>
    <row r="108" spans="15:15" hidden="1" x14ac:dyDescent="0.2">
      <c r="O108" s="348"/>
    </row>
    <row r="109" spans="15:15" hidden="1" x14ac:dyDescent="0.2">
      <c r="O109" s="348"/>
    </row>
    <row r="110" spans="15:15" hidden="1" x14ac:dyDescent="0.2">
      <c r="O110" s="348"/>
    </row>
    <row r="111" spans="15:15" hidden="1" x14ac:dyDescent="0.2">
      <c r="O111" s="348"/>
    </row>
    <row r="112" spans="15:15" hidden="1" x14ac:dyDescent="0.2">
      <c r="O112" s="348"/>
    </row>
    <row r="113" spans="15:15" hidden="1" x14ac:dyDescent="0.2">
      <c r="O113" s="348"/>
    </row>
    <row r="114" spans="15:15" hidden="1" x14ac:dyDescent="0.2">
      <c r="O114" s="348"/>
    </row>
    <row r="115" spans="15:15" hidden="1" x14ac:dyDescent="0.2">
      <c r="O115" s="348"/>
    </row>
    <row r="116" spans="15:15" hidden="1" x14ac:dyDescent="0.2">
      <c r="O116" s="348"/>
    </row>
    <row r="117" spans="15:15" hidden="1" x14ac:dyDescent="0.2">
      <c r="O117" s="348"/>
    </row>
    <row r="118" spans="15:15" hidden="1" x14ac:dyDescent="0.2">
      <c r="O118" s="348"/>
    </row>
    <row r="119" spans="15:15" hidden="1" x14ac:dyDescent="0.2">
      <c r="O119" s="348"/>
    </row>
    <row r="120" spans="15:15" hidden="1" x14ac:dyDescent="0.2">
      <c r="O120" s="348"/>
    </row>
    <row r="121" spans="15:15" hidden="1" x14ac:dyDescent="0.2">
      <c r="O121" s="348"/>
    </row>
    <row r="122" spans="15:15" hidden="1" x14ac:dyDescent="0.2">
      <c r="O122" s="348"/>
    </row>
    <row r="123" spans="15:15" hidden="1" x14ac:dyDescent="0.2">
      <c r="O123" s="348"/>
    </row>
    <row r="124" spans="15:15" hidden="1" x14ac:dyDescent="0.2">
      <c r="O124" s="348"/>
    </row>
    <row r="125" spans="15:15" hidden="1" x14ac:dyDescent="0.2">
      <c r="O125" s="348"/>
    </row>
    <row r="126" spans="15:15" hidden="1" x14ac:dyDescent="0.2">
      <c r="O126" s="348"/>
    </row>
    <row r="127" spans="15:15" hidden="1" x14ac:dyDescent="0.2">
      <c r="O127" s="348"/>
    </row>
    <row r="128" spans="15:15" hidden="1" x14ac:dyDescent="0.2">
      <c r="O128" s="348"/>
    </row>
    <row r="129" spans="15:15" hidden="1" x14ac:dyDescent="0.2">
      <c r="O129" s="348"/>
    </row>
    <row r="130" spans="15:15" hidden="1" x14ac:dyDescent="0.2">
      <c r="O130" s="348"/>
    </row>
    <row r="131" spans="15:15" hidden="1" x14ac:dyDescent="0.2">
      <c r="O131" s="348"/>
    </row>
    <row r="132" spans="15:15" hidden="1" x14ac:dyDescent="0.2">
      <c r="O132" s="348"/>
    </row>
    <row r="133" spans="15:15" hidden="1" x14ac:dyDescent="0.2">
      <c r="O133" s="348"/>
    </row>
    <row r="134" spans="15:15" hidden="1" x14ac:dyDescent="0.2">
      <c r="O134" s="348"/>
    </row>
    <row r="135" spans="15:15" hidden="1" x14ac:dyDescent="0.2">
      <c r="O135" s="348"/>
    </row>
    <row r="136" spans="15:15" hidden="1" x14ac:dyDescent="0.2">
      <c r="O136" s="348"/>
    </row>
    <row r="137" spans="15:15" hidden="1" x14ac:dyDescent="0.2">
      <c r="O137" s="348"/>
    </row>
    <row r="138" spans="15:15" hidden="1" x14ac:dyDescent="0.2">
      <c r="O138" s="348"/>
    </row>
    <row r="139" spans="15:15" hidden="1" x14ac:dyDescent="0.2">
      <c r="O139" s="348"/>
    </row>
    <row r="140" spans="15:15" hidden="1" x14ac:dyDescent="0.2">
      <c r="O140" s="348"/>
    </row>
    <row r="141" spans="15:15" hidden="1" x14ac:dyDescent="0.2">
      <c r="O141" s="348"/>
    </row>
    <row r="142" spans="15:15" hidden="1" x14ac:dyDescent="0.2">
      <c r="O142" s="348"/>
    </row>
    <row r="143" spans="15:15" hidden="1" x14ac:dyDescent="0.2">
      <c r="O143" s="348"/>
    </row>
    <row r="144" spans="15:15" hidden="1" x14ac:dyDescent="0.2">
      <c r="O144" s="348"/>
    </row>
    <row r="145" spans="15:15" hidden="1" x14ac:dyDescent="0.2">
      <c r="O145" s="348"/>
    </row>
    <row r="146" spans="15:15" hidden="1" x14ac:dyDescent="0.2">
      <c r="O146" s="348"/>
    </row>
    <row r="147" spans="15:15" hidden="1" x14ac:dyDescent="0.2">
      <c r="O147" s="348"/>
    </row>
    <row r="148" spans="15:15" hidden="1" x14ac:dyDescent="0.2">
      <c r="O148" s="348"/>
    </row>
    <row r="149" spans="15:15" hidden="1" x14ac:dyDescent="0.2">
      <c r="O149" s="348"/>
    </row>
    <row r="150" spans="15:15" hidden="1" x14ac:dyDescent="0.2">
      <c r="O150" s="348"/>
    </row>
    <row r="151" spans="15:15" hidden="1" x14ac:dyDescent="0.2">
      <c r="O151" s="348"/>
    </row>
    <row r="152" spans="15:15" hidden="1" x14ac:dyDescent="0.2">
      <c r="O152" s="348"/>
    </row>
    <row r="153" spans="15:15" hidden="1" x14ac:dyDescent="0.2">
      <c r="O153" s="348"/>
    </row>
    <row r="154" spans="15:15" hidden="1" x14ac:dyDescent="0.2">
      <c r="O154" s="348"/>
    </row>
    <row r="155" spans="15:15" hidden="1" x14ac:dyDescent="0.2">
      <c r="O155" s="348"/>
    </row>
    <row r="156" spans="15:15" hidden="1" x14ac:dyDescent="0.2">
      <c r="O156" s="348"/>
    </row>
    <row r="157" spans="15:15" hidden="1" x14ac:dyDescent="0.2">
      <c r="O157" s="348"/>
    </row>
    <row r="158" spans="15:15" hidden="1" x14ac:dyDescent="0.2">
      <c r="O158" s="348"/>
    </row>
    <row r="159" spans="15:15" hidden="1" x14ac:dyDescent="0.2">
      <c r="O159" s="348"/>
    </row>
    <row r="160" spans="15:15" hidden="1" x14ac:dyDescent="0.2">
      <c r="O160" s="348"/>
    </row>
    <row r="161" spans="15:15" hidden="1" x14ac:dyDescent="0.2">
      <c r="O161" s="348"/>
    </row>
    <row r="162" spans="15:15" hidden="1" x14ac:dyDescent="0.2">
      <c r="O162" s="348"/>
    </row>
    <row r="163" spans="15:15" hidden="1" x14ac:dyDescent="0.2">
      <c r="O163" s="348"/>
    </row>
    <row r="164" spans="15:15" hidden="1" x14ac:dyDescent="0.2">
      <c r="O164" s="348"/>
    </row>
    <row r="165" spans="15:15" hidden="1" x14ac:dyDescent="0.2">
      <c r="O165" s="348"/>
    </row>
    <row r="166" spans="15:15" hidden="1" x14ac:dyDescent="0.2">
      <c r="O166" s="348"/>
    </row>
    <row r="167" spans="15:15" hidden="1" x14ac:dyDescent="0.2">
      <c r="O167" s="348"/>
    </row>
    <row r="168" spans="15:15" hidden="1" x14ac:dyDescent="0.2">
      <c r="O168" s="348"/>
    </row>
    <row r="169" spans="15:15" hidden="1" x14ac:dyDescent="0.2">
      <c r="O169" s="348"/>
    </row>
    <row r="170" spans="15:15" hidden="1" x14ac:dyDescent="0.2">
      <c r="O170" s="348"/>
    </row>
    <row r="171" spans="15:15" hidden="1" x14ac:dyDescent="0.2">
      <c r="O171" s="348"/>
    </row>
    <row r="172" spans="15:15" hidden="1" x14ac:dyDescent="0.2">
      <c r="O172" s="348"/>
    </row>
    <row r="173" spans="15:15" hidden="1" x14ac:dyDescent="0.2">
      <c r="O173" s="348"/>
    </row>
    <row r="174" spans="15:15" hidden="1" x14ac:dyDescent="0.2">
      <c r="O174" s="348"/>
    </row>
    <row r="175" spans="15:15" hidden="1" x14ac:dyDescent="0.2">
      <c r="O175" s="348"/>
    </row>
    <row r="176" spans="15:15" hidden="1" x14ac:dyDescent="0.2">
      <c r="O176" s="348"/>
    </row>
    <row r="177" spans="15:15" hidden="1" x14ac:dyDescent="0.2">
      <c r="O177" s="348"/>
    </row>
    <row r="178" spans="15:15" hidden="1" x14ac:dyDescent="0.2">
      <c r="O178" s="348"/>
    </row>
    <row r="179" spans="15:15" hidden="1" x14ac:dyDescent="0.2">
      <c r="O179" s="348"/>
    </row>
    <row r="180" spans="15:15" hidden="1" x14ac:dyDescent="0.2">
      <c r="O180" s="348"/>
    </row>
    <row r="181" spans="15:15" hidden="1" x14ac:dyDescent="0.2">
      <c r="O181" s="348"/>
    </row>
    <row r="182" spans="15:15" hidden="1" x14ac:dyDescent="0.2">
      <c r="O182" s="348"/>
    </row>
    <row r="183" spans="15:15" hidden="1" x14ac:dyDescent="0.2">
      <c r="O183" s="348"/>
    </row>
    <row r="184" spans="15:15" hidden="1" x14ac:dyDescent="0.2">
      <c r="O184" s="348"/>
    </row>
    <row r="185" spans="15:15" hidden="1" x14ac:dyDescent="0.2">
      <c r="O185" s="348"/>
    </row>
    <row r="186" spans="15:15" hidden="1" x14ac:dyDescent="0.2">
      <c r="O186" s="348"/>
    </row>
    <row r="187" spans="15:15" hidden="1" x14ac:dyDescent="0.2">
      <c r="O187" s="348"/>
    </row>
    <row r="188" spans="15:15" hidden="1" x14ac:dyDescent="0.2">
      <c r="O188" s="415"/>
    </row>
    <row r="189" spans="15:15" hidden="1" x14ac:dyDescent="0.2">
      <c r="O189" s="415"/>
    </row>
    <row r="190" spans="15:15" hidden="1" x14ac:dyDescent="0.2">
      <c r="O190" s="415"/>
    </row>
    <row r="191" spans="15:15" hidden="1" x14ac:dyDescent="0.2">
      <c r="O191" s="415"/>
    </row>
    <row r="192" spans="15:15" hidden="1" x14ac:dyDescent="0.2">
      <c r="O192" s="415"/>
    </row>
    <row r="193" spans="15:15" hidden="1" x14ac:dyDescent="0.2">
      <c r="O193" s="415"/>
    </row>
    <row r="194" spans="15:15" hidden="1" x14ac:dyDescent="0.2">
      <c r="O194" s="415"/>
    </row>
    <row r="195" spans="15:15" hidden="1" x14ac:dyDescent="0.2">
      <c r="O195" s="415"/>
    </row>
    <row r="196" spans="15:15" hidden="1" x14ac:dyDescent="0.2">
      <c r="O196" s="415"/>
    </row>
    <row r="197" spans="15:15" hidden="1" x14ac:dyDescent="0.2">
      <c r="O197" s="415"/>
    </row>
    <row r="198" spans="15:15" hidden="1" x14ac:dyDescent="0.2">
      <c r="O198" s="415"/>
    </row>
    <row r="199" spans="15:15" hidden="1" x14ac:dyDescent="0.2">
      <c r="O199" s="415"/>
    </row>
    <row r="200" spans="15:15" hidden="1" x14ac:dyDescent="0.2">
      <c r="O200" s="415"/>
    </row>
    <row r="201" spans="15:15" hidden="1" x14ac:dyDescent="0.2">
      <c r="O201" s="415"/>
    </row>
    <row r="202" spans="15:15" hidden="1" x14ac:dyDescent="0.2">
      <c r="O202" s="415"/>
    </row>
    <row r="203" spans="15:15" hidden="1" x14ac:dyDescent="0.2">
      <c r="O203" s="415"/>
    </row>
    <row r="204" spans="15:15" hidden="1" x14ac:dyDescent="0.2">
      <c r="O204" s="415"/>
    </row>
    <row r="205" spans="15:15" hidden="1" x14ac:dyDescent="0.2">
      <c r="O205" s="415"/>
    </row>
    <row r="206" spans="15:15" hidden="1" x14ac:dyDescent="0.2">
      <c r="O206" s="415"/>
    </row>
    <row r="207" spans="15:15" hidden="1" x14ac:dyDescent="0.2">
      <c r="O207" s="415"/>
    </row>
    <row r="208" spans="15:15" hidden="1" x14ac:dyDescent="0.2">
      <c r="O208" s="415"/>
    </row>
    <row r="209" spans="15:15" hidden="1" x14ac:dyDescent="0.2">
      <c r="O209" s="415"/>
    </row>
    <row r="210" spans="15:15" hidden="1" x14ac:dyDescent="0.2">
      <c r="O210" s="415"/>
    </row>
    <row r="211" spans="15:15" hidden="1" x14ac:dyDescent="0.2">
      <c r="O211" s="415"/>
    </row>
    <row r="212" spans="15:15" hidden="1" x14ac:dyDescent="0.2">
      <c r="O212" s="415"/>
    </row>
    <row r="213" spans="15:15" hidden="1" x14ac:dyDescent="0.2">
      <c r="O213" s="415"/>
    </row>
    <row r="214" spans="15:15" hidden="1" x14ac:dyDescent="0.2">
      <c r="O214" s="415"/>
    </row>
    <row r="215" spans="15:15" hidden="1" x14ac:dyDescent="0.2">
      <c r="O215" s="415"/>
    </row>
    <row r="216" spans="15:15" hidden="1" x14ac:dyDescent="0.2">
      <c r="O216" s="415"/>
    </row>
    <row r="217" spans="15:15" hidden="1" x14ac:dyDescent="0.2">
      <c r="O217" s="415"/>
    </row>
    <row r="218" spans="15:15" hidden="1" x14ac:dyDescent="0.2">
      <c r="O218" s="415"/>
    </row>
    <row r="219" spans="15:15" hidden="1" x14ac:dyDescent="0.2">
      <c r="O219" s="415"/>
    </row>
    <row r="220" spans="15:15" hidden="1" x14ac:dyDescent="0.2">
      <c r="O220" s="415"/>
    </row>
    <row r="221" spans="15:15" hidden="1" x14ac:dyDescent="0.2">
      <c r="O221" s="415"/>
    </row>
    <row r="222" spans="15:15" hidden="1" x14ac:dyDescent="0.2">
      <c r="O222" s="415"/>
    </row>
    <row r="223" spans="15:15" hidden="1" x14ac:dyDescent="0.2">
      <c r="O223" s="415"/>
    </row>
    <row r="224" spans="15:15" hidden="1" x14ac:dyDescent="0.2">
      <c r="O224" s="415"/>
    </row>
    <row r="225" spans="15:15" hidden="1" x14ac:dyDescent="0.2">
      <c r="O225" s="415"/>
    </row>
    <row r="226" spans="15:15" hidden="1" x14ac:dyDescent="0.2">
      <c r="O226" s="415"/>
    </row>
    <row r="227" spans="15:15" hidden="1" x14ac:dyDescent="0.2">
      <c r="O227" s="415"/>
    </row>
    <row r="228" spans="15:15" hidden="1" x14ac:dyDescent="0.2">
      <c r="O228" s="415"/>
    </row>
    <row r="229" spans="15:15" hidden="1" x14ac:dyDescent="0.2">
      <c r="O229" s="415"/>
    </row>
    <row r="230" spans="15:15" hidden="1" x14ac:dyDescent="0.2">
      <c r="O230" s="415"/>
    </row>
    <row r="231" spans="15:15" hidden="1" x14ac:dyDescent="0.2">
      <c r="O231" s="415"/>
    </row>
    <row r="232" spans="15:15" hidden="1" x14ac:dyDescent="0.2">
      <c r="O232" s="415"/>
    </row>
    <row r="233" spans="15:15" hidden="1" x14ac:dyDescent="0.2">
      <c r="O233" s="415"/>
    </row>
    <row r="234" spans="15:15" hidden="1" x14ac:dyDescent="0.2">
      <c r="O234" s="415"/>
    </row>
  </sheetData>
  <sheetProtection password="8BA1" sheet="1"/>
  <mergeCells count="20">
    <mergeCell ref="G67:H67"/>
    <mergeCell ref="F18:G18"/>
    <mergeCell ref="G66:H66"/>
    <mergeCell ref="F49:G49"/>
    <mergeCell ref="F48:G48"/>
    <mergeCell ref="F44:G44"/>
    <mergeCell ref="F47:G47"/>
    <mergeCell ref="F38:G39"/>
    <mergeCell ref="C13:G13"/>
    <mergeCell ref="F36:G37"/>
    <mergeCell ref="F30:F31"/>
    <mergeCell ref="F32:F33"/>
    <mergeCell ref="F34:F35"/>
    <mergeCell ref="F16:G16"/>
    <mergeCell ref="F17:G17"/>
    <mergeCell ref="F19:G19"/>
    <mergeCell ref="F46:G46"/>
    <mergeCell ref="F45:G45"/>
    <mergeCell ref="F20:G20"/>
    <mergeCell ref="C41:G41"/>
  </mergeCells>
  <dataValidations count="12">
    <dataValidation type="list" allowBlank="1" showInputMessage="1" showErrorMessage="1" sqref="D22" xr:uid="{00000000-0002-0000-0100-000000000000}">
      <formula1>$N$12:$N$14</formula1>
    </dataValidation>
    <dataValidation type="list" allowBlank="1" showInputMessage="1" showErrorMessage="1" sqref="D37" xr:uid="{00000000-0002-0000-0100-000001000000}">
      <formula1>$N$12:$N$13</formula1>
    </dataValidation>
    <dataValidation type="list" allowBlank="1" showInputMessage="1" showErrorMessage="1" sqref="D38" xr:uid="{00000000-0002-0000-0100-000002000000}">
      <formula1>$N$17:$N$19</formula1>
    </dataValidation>
    <dataValidation type="list" allowBlank="1" showInputMessage="1" showErrorMessage="1" sqref="D17 D31" xr:uid="{00000000-0002-0000-0100-000003000000}">
      <formula1>$Q$12:$Q$14</formula1>
    </dataValidation>
    <dataValidation type="list" allowBlank="1" showInputMessage="1" showErrorMessage="1" sqref="D32" xr:uid="{00000000-0002-0000-0100-000004000000}">
      <formula1>$P$12:$P$12</formula1>
    </dataValidation>
    <dataValidation type="list" allowBlank="1" showInputMessage="1" showErrorMessage="1" sqref="G34 G30 G32" xr:uid="{00000000-0002-0000-0100-000005000000}">
      <formula1>$N$20:$N$21</formula1>
    </dataValidation>
    <dataValidation type="list" allowBlank="1" showInputMessage="1" showErrorMessage="1" sqref="D45" xr:uid="{00000000-0002-0000-0100-000006000000}">
      <formula1>$S$11:$S$12</formula1>
    </dataValidation>
    <dataValidation type="list" allowBlank="1" showInputMessage="1" showErrorMessage="1" sqref="G31" xr:uid="{00000000-0002-0000-0100-000007000000}">
      <formula1>$R$11:$R$26</formula1>
    </dataValidation>
    <dataValidation type="list" allowBlank="1" showInputMessage="1" showErrorMessage="1" sqref="G33" xr:uid="{00000000-0002-0000-0100-000008000000}">
      <formula1>$R$11:$R$22</formula1>
    </dataValidation>
    <dataValidation type="list" allowBlank="1" showInputMessage="1" showErrorMessage="1" sqref="G35" xr:uid="{00000000-0002-0000-0100-000009000000}">
      <formula1>$R$11:$R$17</formula1>
    </dataValidation>
    <dataValidation type="list" allowBlank="1" showInputMessage="1" showErrorMessage="1" sqref="L12:L13 D23:D25" xr:uid="{00000000-0002-0000-0100-00000A000000}">
      <formula1>$L$12:$L$13</formula1>
    </dataValidation>
    <dataValidation type="list" allowBlank="1" showInputMessage="1" showErrorMessage="1" sqref="D18" xr:uid="{00000000-0002-0000-0100-00000B000000}">
      <formula1>$O$12:$O$234</formula1>
    </dataValidation>
  </dataValidations>
  <hyperlinks>
    <hyperlink ref="F30:F31" location="'RFO1'!Print_Area" display="CASH" xr:uid="{00000000-0004-0000-0100-000000000000}"/>
    <hyperlink ref="F32:F33" location="'RFO2'!Print_Area" display="DEFERRED CASH" xr:uid="{00000000-0004-0000-0100-000001000000}"/>
    <hyperlink ref="F34:F35" location="'RFO3'!Print_Area" display="INSTALLMENT" xr:uid="{00000000-0004-0000-0100-000002000000}"/>
    <hyperlink ref="F36:G37" location="'RFO4'!Print_Area" display="IN HOUSE FINANCING" xr:uid="{00000000-0004-0000-0100-000003000000}"/>
    <hyperlink ref="F48:G48" location="'CS4'!A1" display="Spot 25% / 75% in 24 mos." xr:uid="{00000000-0004-0000-0100-000004000000}"/>
    <hyperlink ref="F49:G49" location="'CS5'!A1" display="20% in 2 mos. / 80 % in 48 mos." xr:uid="{00000000-0004-0000-0100-000005000000}"/>
    <hyperlink ref="F38:G39" location="'RFO5'!A1" display="SPOT 5% / 5% in 60 days / 90% in 120mos.     (SM EMPLOYEE)" xr:uid="{00000000-0004-0000-0100-000006000000}"/>
    <hyperlink ref="F47:G47" location="'CS3'!A1" display="Spot 25% / 75% in 12 mos. (with 5% Discount)" xr:uid="{00000000-0004-0000-0100-000007000000}"/>
    <hyperlink ref="F46:G46" location="'CS2'!A1" display="100% Paid in 30 days (with 10% Discount)" xr:uid="{00000000-0004-0000-0100-000008000000}"/>
    <hyperlink ref="F45:G45" location="'CS1'!A1" display="100% Paid in 15 days (with 20% discount)" xr:uid="{00000000-0004-0000-0100-000009000000}"/>
    <hyperlink ref="F44:G44" location="CSISUM!A1" display="CLUBSHARE PAYMENT SUMMARY" xr:uid="{00000000-0004-0000-0100-00000A000000}"/>
    <hyperlink ref="F16:G16" location="Summary!A1" display="SOLA PAYMENTS SUMMARY" xr:uid="{00000000-0004-0000-0100-00000B000000}"/>
    <hyperlink ref="F20:G20" location="'SOLA-4'!A1" display="100% in 60 mos." xr:uid="{00000000-0004-0000-0100-00000C000000}"/>
    <hyperlink ref="F19:G19" location="'SOLA-3'!A1" display="10% Spot / 15% in 30 mos / 75% LS" xr:uid="{00000000-0004-0000-0100-00000D000000}"/>
    <hyperlink ref="F18:G18" location="'SOLA-2'!A1" display="20% Spot / 80% in 60 mos.  (with 3% Discount)" xr:uid="{00000000-0004-0000-0100-00000E000000}"/>
    <hyperlink ref="F17:G17" location="'SOLA-1'!A1" display="50% Spot / 50% in 60 mos.  (with 8% Discount)" xr:uid="{00000000-0004-0000-0100-00000F000000}"/>
    <hyperlink ref="G66:H66" location="'FRE1'!A1" display="50% Spot / 50% in 60 mos. (with 7.5% Discount)" xr:uid="{00000000-0004-0000-0100-000010000000}"/>
    <hyperlink ref="G67:H67" location="'SOLA-5'!A1" display="LIMITED TERM (first 5 accounts): 10% in 2 mos. / 90% in 118 mos." xr:uid="{00000000-0004-0000-0100-000011000000}"/>
  </hyperlinks>
  <pageMargins left="0.7" right="0.7" top="0.75" bottom="0.75" header="0.3" footer="0.3"/>
  <pageSetup scale="60"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FFC000"/>
    <pageSetUpPr fitToPage="1"/>
  </sheetPr>
  <dimension ref="A1:M46"/>
  <sheetViews>
    <sheetView showGridLines="0" workbookViewId="0">
      <selection activeCell="A105" sqref="A105:IV65536"/>
    </sheetView>
  </sheetViews>
  <sheetFormatPr baseColWidth="10" defaultColWidth="0" defaultRowHeight="15" x14ac:dyDescent="0.2"/>
  <cols>
    <col min="1" max="1" width="15.6640625" style="26" customWidth="1"/>
    <col min="2" max="2" width="20.6640625" style="26" customWidth="1"/>
    <col min="3" max="4" width="15.6640625" style="26" customWidth="1"/>
    <col min="5" max="5" width="20.83203125" style="26" bestFit="1" customWidth="1"/>
    <col min="6" max="6" width="2.6640625" style="61" customWidth="1"/>
    <col min="7" max="8" width="9.1640625" style="26" hidden="1" customWidth="1"/>
    <col min="9" max="9" width="8" style="26" hidden="1" customWidth="1"/>
    <col min="10" max="16384" width="9.1640625" style="26" hidden="1"/>
  </cols>
  <sheetData>
    <row r="1" spans="1:13" ht="20" customHeight="1" x14ac:dyDescent="0.2">
      <c r="D1" s="27"/>
      <c r="E1" s="27"/>
      <c r="F1" s="111"/>
    </row>
    <row r="2" spans="1:13" ht="20" customHeight="1" x14ac:dyDescent="0.2">
      <c r="A2" s="70" t="s">
        <v>2</v>
      </c>
      <c r="B2" s="734" t="str">
        <f>INPUT!D44</f>
        <v>New Buyer</v>
      </c>
      <c r="C2" s="735"/>
      <c r="D2" s="27"/>
      <c r="E2" s="27"/>
      <c r="F2" s="111"/>
      <c r="H2" s="47"/>
      <c r="I2" s="47"/>
      <c r="J2" s="71"/>
      <c r="K2" s="47"/>
    </row>
    <row r="3" spans="1:13" ht="20" customHeight="1" x14ac:dyDescent="0.2">
      <c r="A3" s="75" t="s">
        <v>23</v>
      </c>
      <c r="B3" s="773" t="str">
        <f>INPUT!F48</f>
        <v>Spot 25% / 75% in 24 mos.</v>
      </c>
      <c r="C3" s="774"/>
      <c r="D3" s="27"/>
      <c r="E3" s="27"/>
      <c r="F3" s="111"/>
      <c r="H3" s="47"/>
      <c r="I3" s="47"/>
      <c r="J3" s="71"/>
      <c r="K3" s="47"/>
    </row>
    <row r="4" spans="1:13" ht="26.25" customHeight="1" x14ac:dyDescent="0.2">
      <c r="A4" s="118" t="s">
        <v>416</v>
      </c>
      <c r="B4" s="733" t="str">
        <f>INPUT!D45</f>
        <v>Individual</v>
      </c>
      <c r="C4" s="733"/>
      <c r="D4" s="27"/>
      <c r="E4" s="27"/>
      <c r="F4" s="111"/>
      <c r="H4" s="47"/>
      <c r="I4" s="47"/>
      <c r="J4" s="71"/>
      <c r="K4" s="47"/>
    </row>
    <row r="5" spans="1:13" x14ac:dyDescent="0.2">
      <c r="B5" s="25"/>
      <c r="D5" s="27"/>
      <c r="E5" s="194" t="s">
        <v>412</v>
      </c>
      <c r="F5" s="143"/>
      <c r="H5" s="47"/>
      <c r="I5" s="47"/>
      <c r="J5" s="71"/>
      <c r="K5" s="47"/>
      <c r="L5" s="72"/>
      <c r="M5" s="71"/>
    </row>
    <row r="6" spans="1:13" ht="19" x14ac:dyDescent="0.25">
      <c r="A6" s="77" t="s">
        <v>24</v>
      </c>
      <c r="B6" s="25"/>
      <c r="D6" s="27"/>
      <c r="E6" s="27"/>
      <c r="F6" s="111"/>
      <c r="H6" s="47"/>
      <c r="I6" s="47">
        <v>1100000</v>
      </c>
      <c r="J6" s="71"/>
      <c r="K6" s="47"/>
      <c r="L6" s="72"/>
      <c r="M6" s="71"/>
    </row>
    <row r="7" spans="1:13" ht="19" x14ac:dyDescent="0.25">
      <c r="A7" s="77"/>
      <c r="B7" s="25"/>
      <c r="E7" s="196" t="s">
        <v>107</v>
      </c>
      <c r="F7" s="152"/>
      <c r="G7" s="47"/>
      <c r="H7" s="47"/>
      <c r="I7" s="47">
        <v>800000</v>
      </c>
      <c r="J7" s="71"/>
      <c r="K7" s="47"/>
      <c r="L7" s="72"/>
    </row>
    <row r="8" spans="1:13" x14ac:dyDescent="0.2">
      <c r="A8" s="390" t="s">
        <v>523</v>
      </c>
      <c r="B8" s="141"/>
      <c r="C8" s="93"/>
      <c r="D8" s="93"/>
      <c r="E8" s="334">
        <f>IF(INPUT!D45=INPUT!S11,I7,I6)</f>
        <v>800000</v>
      </c>
      <c r="F8" s="153"/>
      <c r="G8" s="79"/>
      <c r="H8" s="47"/>
      <c r="I8" s="47"/>
      <c r="J8" s="71"/>
      <c r="K8" s="47"/>
      <c r="L8" s="72"/>
    </row>
    <row r="10" spans="1:13" x14ac:dyDescent="0.2">
      <c r="A10" s="116" t="s">
        <v>25</v>
      </c>
      <c r="B10" s="116" t="s">
        <v>26</v>
      </c>
      <c r="C10" s="734" t="s">
        <v>27</v>
      </c>
      <c r="D10" s="735"/>
      <c r="E10" s="117" t="s">
        <v>28</v>
      </c>
      <c r="F10" s="154"/>
      <c r="H10" s="72"/>
      <c r="I10" s="47"/>
      <c r="J10" s="71"/>
      <c r="K10" s="47"/>
    </row>
    <row r="11" spans="1:13" x14ac:dyDescent="0.2">
      <c r="A11" s="118">
        <v>0</v>
      </c>
      <c r="B11" s="118" t="s">
        <v>123</v>
      </c>
      <c r="C11" s="775">
        <v>25000</v>
      </c>
      <c r="D11" s="775"/>
      <c r="E11" s="333">
        <f>E8-C11</f>
        <v>775000</v>
      </c>
      <c r="F11" s="155"/>
    </row>
    <row r="12" spans="1:13" x14ac:dyDescent="0.2">
      <c r="A12" s="118">
        <v>1</v>
      </c>
      <c r="B12" s="118" t="s">
        <v>458</v>
      </c>
      <c r="C12" s="772">
        <f>E8*G12-C11</f>
        <v>175000</v>
      </c>
      <c r="D12" s="772"/>
      <c r="E12" s="333">
        <f>E11-C12</f>
        <v>600000</v>
      </c>
      <c r="F12" s="155"/>
      <c r="G12" s="142">
        <v>0.25</v>
      </c>
    </row>
    <row r="13" spans="1:13" x14ac:dyDescent="0.2">
      <c r="A13" s="118">
        <v>2</v>
      </c>
      <c r="B13" s="118" t="s">
        <v>30</v>
      </c>
      <c r="C13" s="772">
        <f>E8*G13/H13</f>
        <v>25000</v>
      </c>
      <c r="D13" s="772"/>
      <c r="E13" s="333">
        <f t="shared" ref="E13:E36" si="0">E12-C13</f>
        <v>575000</v>
      </c>
      <c r="F13" s="155"/>
      <c r="G13" s="142">
        <v>0.75</v>
      </c>
      <c r="H13" s="26">
        <v>24</v>
      </c>
    </row>
    <row r="14" spans="1:13" x14ac:dyDescent="0.2">
      <c r="A14" s="118">
        <v>3</v>
      </c>
      <c r="B14" s="118" t="s">
        <v>31</v>
      </c>
      <c r="C14" s="772">
        <f>C13</f>
        <v>25000</v>
      </c>
      <c r="D14" s="772"/>
      <c r="E14" s="333">
        <f t="shared" si="0"/>
        <v>550000</v>
      </c>
      <c r="F14" s="155"/>
    </row>
    <row r="15" spans="1:13" x14ac:dyDescent="0.2">
      <c r="A15" s="118">
        <v>4</v>
      </c>
      <c r="B15" s="158" t="s">
        <v>32</v>
      </c>
      <c r="C15" s="770">
        <f>C14</f>
        <v>25000</v>
      </c>
      <c r="D15" s="771"/>
      <c r="E15" s="333">
        <f t="shared" si="0"/>
        <v>525000</v>
      </c>
      <c r="F15" s="155"/>
    </row>
    <row r="16" spans="1:13" x14ac:dyDescent="0.2">
      <c r="A16" s="118">
        <v>5</v>
      </c>
      <c r="B16" s="158" t="s">
        <v>33</v>
      </c>
      <c r="C16" s="772">
        <f t="shared" ref="C16:C36" si="1">C15</f>
        <v>25000</v>
      </c>
      <c r="D16" s="772"/>
      <c r="E16" s="333">
        <f t="shared" si="0"/>
        <v>500000</v>
      </c>
      <c r="F16" s="155"/>
    </row>
    <row r="17" spans="1:6" x14ac:dyDescent="0.2">
      <c r="A17" s="118">
        <v>6</v>
      </c>
      <c r="B17" s="158" t="s">
        <v>34</v>
      </c>
      <c r="C17" s="770">
        <f t="shared" si="1"/>
        <v>25000</v>
      </c>
      <c r="D17" s="771"/>
      <c r="E17" s="333">
        <f t="shared" si="0"/>
        <v>475000</v>
      </c>
      <c r="F17" s="155"/>
    </row>
    <row r="18" spans="1:6" x14ac:dyDescent="0.2">
      <c r="A18" s="118">
        <v>7</v>
      </c>
      <c r="B18" s="158" t="s">
        <v>35</v>
      </c>
      <c r="C18" s="772">
        <f t="shared" si="1"/>
        <v>25000</v>
      </c>
      <c r="D18" s="772"/>
      <c r="E18" s="333">
        <f t="shared" si="0"/>
        <v>450000</v>
      </c>
      <c r="F18" s="155"/>
    </row>
    <row r="19" spans="1:6" x14ac:dyDescent="0.2">
      <c r="A19" s="118">
        <v>8</v>
      </c>
      <c r="B19" s="158" t="s">
        <v>36</v>
      </c>
      <c r="C19" s="770">
        <f t="shared" si="1"/>
        <v>25000</v>
      </c>
      <c r="D19" s="771"/>
      <c r="E19" s="333">
        <f t="shared" si="0"/>
        <v>425000</v>
      </c>
      <c r="F19" s="155"/>
    </row>
    <row r="20" spans="1:6" x14ac:dyDescent="0.2">
      <c r="A20" s="118">
        <v>9</v>
      </c>
      <c r="B20" s="158" t="s">
        <v>37</v>
      </c>
      <c r="C20" s="772">
        <f t="shared" si="1"/>
        <v>25000</v>
      </c>
      <c r="D20" s="772"/>
      <c r="E20" s="333">
        <f t="shared" si="0"/>
        <v>400000</v>
      </c>
      <c r="F20" s="155"/>
    </row>
    <row r="21" spans="1:6" x14ac:dyDescent="0.2">
      <c r="A21" s="118">
        <v>10</v>
      </c>
      <c r="B21" s="158" t="s">
        <v>38</v>
      </c>
      <c r="C21" s="770">
        <f t="shared" si="1"/>
        <v>25000</v>
      </c>
      <c r="D21" s="771"/>
      <c r="E21" s="333">
        <f t="shared" si="0"/>
        <v>375000</v>
      </c>
      <c r="F21" s="155"/>
    </row>
    <row r="22" spans="1:6" x14ac:dyDescent="0.2">
      <c r="A22" s="118">
        <v>11</v>
      </c>
      <c r="B22" s="158" t="s">
        <v>39</v>
      </c>
      <c r="C22" s="772">
        <f t="shared" si="1"/>
        <v>25000</v>
      </c>
      <c r="D22" s="772"/>
      <c r="E22" s="333">
        <f t="shared" si="0"/>
        <v>350000</v>
      </c>
      <c r="F22" s="155"/>
    </row>
    <row r="23" spans="1:6" x14ac:dyDescent="0.2">
      <c r="A23" s="118">
        <v>12</v>
      </c>
      <c r="B23" s="158" t="s">
        <v>40</v>
      </c>
      <c r="C23" s="770">
        <f t="shared" si="1"/>
        <v>25000</v>
      </c>
      <c r="D23" s="771"/>
      <c r="E23" s="333">
        <f t="shared" si="0"/>
        <v>325000</v>
      </c>
      <c r="F23" s="155"/>
    </row>
    <row r="24" spans="1:6" x14ac:dyDescent="0.2">
      <c r="A24" s="118">
        <v>13</v>
      </c>
      <c r="B24" s="158" t="s">
        <v>41</v>
      </c>
      <c r="C24" s="772">
        <f t="shared" si="1"/>
        <v>25000</v>
      </c>
      <c r="D24" s="772"/>
      <c r="E24" s="333">
        <f t="shared" si="0"/>
        <v>300000</v>
      </c>
      <c r="F24" s="155"/>
    </row>
    <row r="25" spans="1:6" x14ac:dyDescent="0.2">
      <c r="A25" s="118">
        <v>14</v>
      </c>
      <c r="B25" s="158" t="s">
        <v>42</v>
      </c>
      <c r="C25" s="770">
        <f t="shared" si="1"/>
        <v>25000</v>
      </c>
      <c r="D25" s="771"/>
      <c r="E25" s="333">
        <f t="shared" si="0"/>
        <v>275000</v>
      </c>
      <c r="F25" s="155"/>
    </row>
    <row r="26" spans="1:6" x14ac:dyDescent="0.2">
      <c r="A26" s="118">
        <v>15</v>
      </c>
      <c r="B26" s="158" t="s">
        <v>43</v>
      </c>
      <c r="C26" s="772">
        <f t="shared" si="1"/>
        <v>25000</v>
      </c>
      <c r="D26" s="772"/>
      <c r="E26" s="333">
        <f t="shared" si="0"/>
        <v>250000</v>
      </c>
      <c r="F26" s="155"/>
    </row>
    <row r="27" spans="1:6" x14ac:dyDescent="0.2">
      <c r="A27" s="118">
        <v>16</v>
      </c>
      <c r="B27" s="158" t="s">
        <v>44</v>
      </c>
      <c r="C27" s="770">
        <f t="shared" si="1"/>
        <v>25000</v>
      </c>
      <c r="D27" s="771"/>
      <c r="E27" s="333">
        <f t="shared" si="0"/>
        <v>225000</v>
      </c>
      <c r="F27" s="155"/>
    </row>
    <row r="28" spans="1:6" x14ac:dyDescent="0.2">
      <c r="A28" s="118">
        <v>17</v>
      </c>
      <c r="B28" s="158" t="s">
        <v>45</v>
      </c>
      <c r="C28" s="772">
        <f t="shared" si="1"/>
        <v>25000</v>
      </c>
      <c r="D28" s="772"/>
      <c r="E28" s="333">
        <f t="shared" si="0"/>
        <v>200000</v>
      </c>
      <c r="F28" s="155"/>
    </row>
    <row r="29" spans="1:6" x14ac:dyDescent="0.2">
      <c r="A29" s="118">
        <v>18</v>
      </c>
      <c r="B29" s="158" t="s">
        <v>46</v>
      </c>
      <c r="C29" s="770">
        <f t="shared" si="1"/>
        <v>25000</v>
      </c>
      <c r="D29" s="771"/>
      <c r="E29" s="333">
        <f t="shared" si="0"/>
        <v>175000</v>
      </c>
      <c r="F29" s="155"/>
    </row>
    <row r="30" spans="1:6" x14ac:dyDescent="0.2">
      <c r="A30" s="118">
        <v>19</v>
      </c>
      <c r="B30" s="158" t="s">
        <v>47</v>
      </c>
      <c r="C30" s="772">
        <f t="shared" si="1"/>
        <v>25000</v>
      </c>
      <c r="D30" s="772"/>
      <c r="E30" s="333">
        <f t="shared" si="0"/>
        <v>150000</v>
      </c>
      <c r="F30" s="155"/>
    </row>
    <row r="31" spans="1:6" x14ac:dyDescent="0.2">
      <c r="A31" s="118">
        <v>20</v>
      </c>
      <c r="B31" s="158" t="s">
        <v>48</v>
      </c>
      <c r="C31" s="770">
        <f t="shared" si="1"/>
        <v>25000</v>
      </c>
      <c r="D31" s="771"/>
      <c r="E31" s="333">
        <f t="shared" si="0"/>
        <v>125000</v>
      </c>
      <c r="F31" s="155"/>
    </row>
    <row r="32" spans="1:6" x14ac:dyDescent="0.2">
      <c r="A32" s="118">
        <v>21</v>
      </c>
      <c r="B32" s="158" t="s">
        <v>49</v>
      </c>
      <c r="C32" s="772">
        <f t="shared" si="1"/>
        <v>25000</v>
      </c>
      <c r="D32" s="772"/>
      <c r="E32" s="333">
        <f t="shared" si="0"/>
        <v>100000</v>
      </c>
      <c r="F32" s="155"/>
    </row>
    <row r="33" spans="1:10" x14ac:dyDescent="0.2">
      <c r="A33" s="118">
        <v>22</v>
      </c>
      <c r="B33" s="158" t="s">
        <v>50</v>
      </c>
      <c r="C33" s="770">
        <f t="shared" si="1"/>
        <v>25000</v>
      </c>
      <c r="D33" s="771"/>
      <c r="E33" s="333">
        <f t="shared" si="0"/>
        <v>75000</v>
      </c>
      <c r="F33" s="155"/>
    </row>
    <row r="34" spans="1:10" x14ac:dyDescent="0.2">
      <c r="A34" s="118">
        <v>23</v>
      </c>
      <c r="B34" s="158" t="s">
        <v>51</v>
      </c>
      <c r="C34" s="772">
        <f t="shared" si="1"/>
        <v>25000</v>
      </c>
      <c r="D34" s="772"/>
      <c r="E34" s="333">
        <f t="shared" si="0"/>
        <v>50000</v>
      </c>
      <c r="F34" s="155"/>
    </row>
    <row r="35" spans="1:10" x14ac:dyDescent="0.2">
      <c r="A35" s="118">
        <v>24</v>
      </c>
      <c r="B35" s="158" t="s">
        <v>52</v>
      </c>
      <c r="C35" s="770">
        <f t="shared" si="1"/>
        <v>25000</v>
      </c>
      <c r="D35" s="771"/>
      <c r="E35" s="333">
        <f t="shared" si="0"/>
        <v>25000</v>
      </c>
      <c r="F35" s="155"/>
    </row>
    <row r="36" spans="1:10" x14ac:dyDescent="0.2">
      <c r="A36" s="118">
        <v>25</v>
      </c>
      <c r="B36" s="158" t="s">
        <v>53</v>
      </c>
      <c r="C36" s="772">
        <f t="shared" si="1"/>
        <v>25000</v>
      </c>
      <c r="D36" s="772"/>
      <c r="E36" s="333">
        <f t="shared" si="0"/>
        <v>0</v>
      </c>
      <c r="F36" s="155"/>
    </row>
    <row r="37" spans="1:10" s="39" customFormat="1" x14ac:dyDescent="0.2">
      <c r="A37" s="10" t="s">
        <v>113</v>
      </c>
      <c r="B37" s="35"/>
      <c r="C37" s="36"/>
      <c r="D37" s="36"/>
      <c r="G37" s="37"/>
      <c r="H37" s="38"/>
      <c r="I37" s="38"/>
      <c r="J37" s="38"/>
    </row>
    <row r="38" spans="1:10" s="39" customFormat="1" ht="29.25" customHeight="1" x14ac:dyDescent="0.2">
      <c r="A38" s="722" t="s">
        <v>114</v>
      </c>
      <c r="B38" s="722"/>
      <c r="C38" s="722"/>
      <c r="D38" s="722"/>
      <c r="E38" s="722"/>
      <c r="F38" s="147"/>
      <c r="G38" s="37"/>
      <c r="H38" s="38"/>
      <c r="I38" s="38"/>
      <c r="J38" s="38"/>
    </row>
    <row r="39" spans="1:10" s="39" customFormat="1" x14ac:dyDescent="0.2">
      <c r="A39" s="40" t="s">
        <v>419</v>
      </c>
      <c r="B39" s="41"/>
      <c r="C39" s="41"/>
      <c r="D39" s="41"/>
      <c r="E39" s="41"/>
      <c r="F39" s="148"/>
      <c r="G39" s="37"/>
      <c r="H39" s="38"/>
      <c r="I39" s="38"/>
      <c r="J39" s="38"/>
    </row>
    <row r="40" spans="1:10" s="39" customFormat="1" ht="29.25" customHeight="1" x14ac:dyDescent="0.2">
      <c r="A40" s="722" t="s">
        <v>420</v>
      </c>
      <c r="B40" s="722"/>
      <c r="C40" s="722"/>
      <c r="D40" s="722"/>
      <c r="E40" s="722"/>
      <c r="F40" s="147"/>
      <c r="G40" s="37"/>
      <c r="H40" s="38"/>
      <c r="I40" s="38"/>
      <c r="J40" s="38"/>
    </row>
    <row r="41" spans="1:10" s="39" customFormat="1" x14ac:dyDescent="0.2">
      <c r="A41" s="40" t="s">
        <v>421</v>
      </c>
      <c r="B41" s="42"/>
      <c r="C41" s="42"/>
      <c r="D41" s="42"/>
      <c r="E41" s="42"/>
      <c r="F41" s="149"/>
      <c r="G41" s="37"/>
      <c r="H41" s="38"/>
      <c r="I41" s="38"/>
      <c r="J41" s="38"/>
    </row>
    <row r="42" spans="1:10" s="39" customFormat="1" x14ac:dyDescent="0.2">
      <c r="B42" s="42"/>
      <c r="C42" s="42"/>
      <c r="D42" s="42"/>
      <c r="E42" s="42"/>
      <c r="F42" s="149"/>
      <c r="G42" s="37"/>
      <c r="H42" s="38"/>
      <c r="I42" s="38"/>
      <c r="J42" s="38"/>
    </row>
    <row r="46" spans="1:10" x14ac:dyDescent="0.2">
      <c r="A46" s="769" t="s">
        <v>422</v>
      </c>
      <c r="B46" s="769"/>
      <c r="C46" s="48"/>
      <c r="D46" s="769" t="s">
        <v>447</v>
      </c>
      <c r="E46" s="769"/>
      <c r="F46" s="156"/>
    </row>
  </sheetData>
  <sheetProtection selectLockedCells="1"/>
  <mergeCells count="34">
    <mergeCell ref="C12:D12"/>
    <mergeCell ref="C13:D13"/>
    <mergeCell ref="C14:D14"/>
    <mergeCell ref="C15:D15"/>
    <mergeCell ref="B2:C2"/>
    <mergeCell ref="B3:C3"/>
    <mergeCell ref="B4:C4"/>
    <mergeCell ref="C10:D10"/>
    <mergeCell ref="C11:D11"/>
    <mergeCell ref="C16:D16"/>
    <mergeCell ref="C17:D17"/>
    <mergeCell ref="C30:D30"/>
    <mergeCell ref="C19:D19"/>
    <mergeCell ref="C20:D20"/>
    <mergeCell ref="C21:D21"/>
    <mergeCell ref="C22:D22"/>
    <mergeCell ref="C23:D23"/>
    <mergeCell ref="C24:D24"/>
    <mergeCell ref="C25:D25"/>
    <mergeCell ref="C18:D18"/>
    <mergeCell ref="C26:D26"/>
    <mergeCell ref="C27:D27"/>
    <mergeCell ref="C28:D28"/>
    <mergeCell ref="C29:D29"/>
    <mergeCell ref="A38:E38"/>
    <mergeCell ref="A46:B46"/>
    <mergeCell ref="D46:E46"/>
    <mergeCell ref="C31:D31"/>
    <mergeCell ref="C32:D32"/>
    <mergeCell ref="C33:D33"/>
    <mergeCell ref="C34:D34"/>
    <mergeCell ref="C35:D35"/>
    <mergeCell ref="C36:D36"/>
    <mergeCell ref="A40:E40"/>
  </mergeCells>
  <hyperlinks>
    <hyperlink ref="E5" location="INPUT!A1" display="BACK TO INPUT" xr:uid="{00000000-0004-0000-1300-000000000000}"/>
  </hyperlinks>
  <printOptions horizontalCentered="1"/>
  <pageMargins left="0.25" right="0.25" top="0.25" bottom="0.2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FFC000"/>
  </sheetPr>
  <dimension ref="A1:M71"/>
  <sheetViews>
    <sheetView showGridLines="0" zoomScaleNormal="100" workbookViewId="0">
      <selection activeCell="A105" sqref="A105:IV65536"/>
    </sheetView>
  </sheetViews>
  <sheetFormatPr baseColWidth="10" defaultColWidth="0" defaultRowHeight="15" x14ac:dyDescent="0.2"/>
  <cols>
    <col min="1" max="1" width="15.6640625" style="9" customWidth="1"/>
    <col min="2" max="2" width="20.6640625" style="9" customWidth="1"/>
    <col min="3" max="4" width="15.6640625" style="9" customWidth="1"/>
    <col min="5" max="5" width="20.83203125" style="9" bestFit="1" customWidth="1"/>
    <col min="6" max="6" width="2.6640625" style="151" customWidth="1"/>
    <col min="7" max="16384" width="9.1640625" style="9" hidden="1"/>
  </cols>
  <sheetData>
    <row r="1" spans="1:13" ht="20" customHeight="1" x14ac:dyDescent="0.2">
      <c r="D1" s="4"/>
      <c r="E1" s="4"/>
      <c r="F1" s="13"/>
    </row>
    <row r="2" spans="1:13" ht="20" customHeight="1" x14ac:dyDescent="0.2">
      <c r="A2" s="16" t="s">
        <v>2</v>
      </c>
      <c r="B2" s="758" t="str">
        <f>INPUT!D44</f>
        <v>New Buyer</v>
      </c>
      <c r="C2" s="759"/>
      <c r="D2" s="4"/>
      <c r="E2" s="4"/>
      <c r="F2" s="13"/>
      <c r="H2" s="6"/>
      <c r="I2" s="6"/>
      <c r="J2" s="7"/>
      <c r="K2" s="6"/>
    </row>
    <row r="3" spans="1:13" ht="20" customHeight="1" x14ac:dyDescent="0.2">
      <c r="A3" s="3" t="s">
        <v>23</v>
      </c>
      <c r="B3" s="766" t="str">
        <f>INPUT!F49</f>
        <v>20% in 2 mos. / 80 % in 48 mos.</v>
      </c>
      <c r="C3" s="767"/>
      <c r="D3" s="4"/>
      <c r="E3" s="4"/>
      <c r="F3" s="13"/>
      <c r="H3" s="6"/>
      <c r="I3" s="6"/>
      <c r="J3" s="7"/>
      <c r="K3" s="6"/>
    </row>
    <row r="4" spans="1:13" ht="20" customHeight="1" x14ac:dyDescent="0.2">
      <c r="A4" s="44" t="s">
        <v>416</v>
      </c>
      <c r="B4" s="764" t="str">
        <f>INPUT!D45</f>
        <v>Individual</v>
      </c>
      <c r="C4" s="764"/>
      <c r="D4" s="4"/>
      <c r="E4" s="4"/>
      <c r="F4" s="13"/>
      <c r="H4" s="6"/>
      <c r="I4" s="6"/>
      <c r="J4" s="7"/>
      <c r="K4" s="6"/>
    </row>
    <row r="5" spans="1:13" x14ac:dyDescent="0.2">
      <c r="B5" s="43"/>
      <c r="D5" s="4"/>
      <c r="E5" s="194" t="s">
        <v>412</v>
      </c>
      <c r="F5" s="143"/>
      <c r="H5" s="6"/>
      <c r="I5" s="6"/>
      <c r="J5" s="7"/>
      <c r="K5" s="6"/>
      <c r="L5" s="8"/>
      <c r="M5" s="7"/>
    </row>
    <row r="6" spans="1:13" ht="19" x14ac:dyDescent="0.25">
      <c r="A6" s="5" t="s">
        <v>24</v>
      </c>
      <c r="B6" s="43"/>
      <c r="D6" s="4"/>
      <c r="E6" s="4"/>
      <c r="F6" s="13"/>
      <c r="H6" s="6"/>
      <c r="I6" s="6">
        <v>1100000</v>
      </c>
      <c r="J6" s="7"/>
      <c r="K6" s="6"/>
      <c r="L6" s="8"/>
      <c r="M6" s="7"/>
    </row>
    <row r="7" spans="1:13" ht="19" x14ac:dyDescent="0.25">
      <c r="A7" s="5"/>
      <c r="B7" s="43"/>
      <c r="E7" s="193" t="s">
        <v>107</v>
      </c>
      <c r="F7" s="144"/>
      <c r="G7" s="6"/>
      <c r="H7" s="6"/>
      <c r="I7" s="6">
        <v>800000</v>
      </c>
      <c r="J7" s="7"/>
      <c r="K7" s="6"/>
      <c r="L7" s="8"/>
    </row>
    <row r="8" spans="1:13" x14ac:dyDescent="0.2">
      <c r="A8" s="390" t="s">
        <v>523</v>
      </c>
      <c r="B8" s="34"/>
      <c r="C8" s="15"/>
      <c r="D8" s="15"/>
      <c r="E8" s="335">
        <f>IF(INPUT!D45=INPUT!S11,I7,I6)</f>
        <v>800000</v>
      </c>
      <c r="F8" s="145"/>
      <c r="G8" s="23"/>
      <c r="H8" s="6"/>
      <c r="I8" s="6"/>
      <c r="J8" s="7"/>
      <c r="K8" s="6"/>
      <c r="L8" s="8"/>
    </row>
    <row r="10" spans="1:13" x14ac:dyDescent="0.2">
      <c r="A10" s="17" t="s">
        <v>25</v>
      </c>
      <c r="B10" s="17" t="s">
        <v>26</v>
      </c>
      <c r="C10" s="758" t="s">
        <v>27</v>
      </c>
      <c r="D10" s="759"/>
      <c r="E10" s="18" t="s">
        <v>28</v>
      </c>
      <c r="F10" s="146"/>
      <c r="H10" s="8"/>
      <c r="I10" s="6"/>
      <c r="J10" s="7"/>
      <c r="K10" s="6"/>
    </row>
    <row r="11" spans="1:13" x14ac:dyDescent="0.2">
      <c r="A11" s="31">
        <v>0</v>
      </c>
      <c r="B11" s="31" t="s">
        <v>123</v>
      </c>
      <c r="C11" s="765">
        <v>25000</v>
      </c>
      <c r="D11" s="765"/>
      <c r="E11" s="332">
        <f>E8-C11</f>
        <v>775000</v>
      </c>
      <c r="F11" s="11"/>
    </row>
    <row r="12" spans="1:13" x14ac:dyDescent="0.2">
      <c r="A12" s="44">
        <v>1</v>
      </c>
      <c r="B12" s="31" t="s">
        <v>102</v>
      </c>
      <c r="C12" s="778">
        <f>(E8*G12-C11)/H12</f>
        <v>67500</v>
      </c>
      <c r="D12" s="778"/>
      <c r="E12" s="332">
        <f>E11-C12</f>
        <v>707500</v>
      </c>
      <c r="F12" s="11"/>
      <c r="G12" s="14">
        <v>0.2</v>
      </c>
      <c r="H12" s="9">
        <v>2</v>
      </c>
    </row>
    <row r="13" spans="1:13" x14ac:dyDescent="0.2">
      <c r="A13" s="44">
        <v>2</v>
      </c>
      <c r="B13" s="31" t="s">
        <v>103</v>
      </c>
      <c r="C13" s="776">
        <f>C12</f>
        <v>67500</v>
      </c>
      <c r="D13" s="777"/>
      <c r="E13" s="332">
        <f>E12-C13</f>
        <v>640000</v>
      </c>
      <c r="F13" s="11"/>
    </row>
    <row r="14" spans="1:13" x14ac:dyDescent="0.2">
      <c r="A14" s="44">
        <v>3</v>
      </c>
      <c r="B14" s="31" t="s">
        <v>30</v>
      </c>
      <c r="C14" s="776">
        <f>ROUND(E8*G14/H14,2)</f>
        <v>13333.33</v>
      </c>
      <c r="D14" s="777"/>
      <c r="E14" s="332">
        <f t="shared" ref="E14:E61" si="0">E13-C14</f>
        <v>626666.67000000004</v>
      </c>
      <c r="F14" s="11"/>
      <c r="G14" s="14">
        <v>0.8</v>
      </c>
      <c r="H14" s="9">
        <v>48</v>
      </c>
    </row>
    <row r="15" spans="1:13" x14ac:dyDescent="0.2">
      <c r="A15" s="44">
        <v>4</v>
      </c>
      <c r="B15" s="31" t="s">
        <v>31</v>
      </c>
      <c r="C15" s="776">
        <f>C14</f>
        <v>13333.33</v>
      </c>
      <c r="D15" s="777"/>
      <c r="E15" s="332">
        <f t="shared" si="0"/>
        <v>613333.34000000008</v>
      </c>
      <c r="F15" s="11"/>
    </row>
    <row r="16" spans="1:13" x14ac:dyDescent="0.2">
      <c r="A16" s="44">
        <v>5</v>
      </c>
      <c r="B16" s="31" t="s">
        <v>32</v>
      </c>
      <c r="C16" s="776">
        <f>C15</f>
        <v>13333.33</v>
      </c>
      <c r="D16" s="777"/>
      <c r="E16" s="332">
        <f t="shared" si="0"/>
        <v>600000.01000000013</v>
      </c>
      <c r="F16" s="11"/>
    </row>
    <row r="17" spans="1:6" x14ac:dyDescent="0.2">
      <c r="A17" s="44">
        <v>6</v>
      </c>
      <c r="B17" s="31" t="s">
        <v>33</v>
      </c>
      <c r="C17" s="776">
        <f t="shared" ref="C17:C60" si="1">C16</f>
        <v>13333.33</v>
      </c>
      <c r="D17" s="777"/>
      <c r="E17" s="332">
        <f t="shared" si="0"/>
        <v>586666.68000000017</v>
      </c>
      <c r="F17" s="11"/>
    </row>
    <row r="18" spans="1:6" x14ac:dyDescent="0.2">
      <c r="A18" s="44">
        <v>7</v>
      </c>
      <c r="B18" s="31" t="s">
        <v>34</v>
      </c>
      <c r="C18" s="776">
        <f t="shared" si="1"/>
        <v>13333.33</v>
      </c>
      <c r="D18" s="777"/>
      <c r="E18" s="332">
        <f t="shared" si="0"/>
        <v>573333.35000000021</v>
      </c>
      <c r="F18" s="11"/>
    </row>
    <row r="19" spans="1:6" x14ac:dyDescent="0.2">
      <c r="A19" s="44">
        <v>8</v>
      </c>
      <c r="B19" s="31" t="s">
        <v>35</v>
      </c>
      <c r="C19" s="776">
        <f t="shared" si="1"/>
        <v>13333.33</v>
      </c>
      <c r="D19" s="777"/>
      <c r="E19" s="332">
        <f t="shared" si="0"/>
        <v>560000.02000000025</v>
      </c>
      <c r="F19" s="11"/>
    </row>
    <row r="20" spans="1:6" x14ac:dyDescent="0.2">
      <c r="A20" s="44">
        <v>9</v>
      </c>
      <c r="B20" s="31" t="s">
        <v>36</v>
      </c>
      <c r="C20" s="776">
        <f t="shared" si="1"/>
        <v>13333.33</v>
      </c>
      <c r="D20" s="777"/>
      <c r="E20" s="332">
        <f t="shared" si="0"/>
        <v>546666.69000000029</v>
      </c>
      <c r="F20" s="11"/>
    </row>
    <row r="21" spans="1:6" x14ac:dyDescent="0.2">
      <c r="A21" s="44">
        <v>10</v>
      </c>
      <c r="B21" s="31" t="s">
        <v>37</v>
      </c>
      <c r="C21" s="776">
        <f t="shared" si="1"/>
        <v>13333.33</v>
      </c>
      <c r="D21" s="777"/>
      <c r="E21" s="332">
        <f t="shared" si="0"/>
        <v>533333.36000000034</v>
      </c>
      <c r="F21" s="11"/>
    </row>
    <row r="22" spans="1:6" x14ac:dyDescent="0.2">
      <c r="A22" s="44">
        <v>11</v>
      </c>
      <c r="B22" s="31" t="s">
        <v>38</v>
      </c>
      <c r="C22" s="776">
        <f t="shared" si="1"/>
        <v>13333.33</v>
      </c>
      <c r="D22" s="777"/>
      <c r="E22" s="332">
        <f t="shared" si="0"/>
        <v>520000.03000000032</v>
      </c>
      <c r="F22" s="11"/>
    </row>
    <row r="23" spans="1:6" x14ac:dyDescent="0.2">
      <c r="A23" s="44">
        <v>12</v>
      </c>
      <c r="B23" s="31" t="s">
        <v>39</v>
      </c>
      <c r="C23" s="776">
        <f t="shared" si="1"/>
        <v>13333.33</v>
      </c>
      <c r="D23" s="777"/>
      <c r="E23" s="332">
        <f t="shared" si="0"/>
        <v>506666.7000000003</v>
      </c>
      <c r="F23" s="11"/>
    </row>
    <row r="24" spans="1:6" x14ac:dyDescent="0.2">
      <c r="A24" s="44">
        <v>13</v>
      </c>
      <c r="B24" s="31" t="s">
        <v>40</v>
      </c>
      <c r="C24" s="776">
        <f t="shared" si="1"/>
        <v>13333.33</v>
      </c>
      <c r="D24" s="777"/>
      <c r="E24" s="332">
        <f t="shared" si="0"/>
        <v>493333.37000000029</v>
      </c>
      <c r="F24" s="11"/>
    </row>
    <row r="25" spans="1:6" x14ac:dyDescent="0.2">
      <c r="A25" s="44">
        <v>14</v>
      </c>
      <c r="B25" s="31" t="s">
        <v>41</v>
      </c>
      <c r="C25" s="776">
        <f t="shared" si="1"/>
        <v>13333.33</v>
      </c>
      <c r="D25" s="777"/>
      <c r="E25" s="332">
        <f t="shared" si="0"/>
        <v>480000.04000000027</v>
      </c>
      <c r="F25" s="11"/>
    </row>
    <row r="26" spans="1:6" x14ac:dyDescent="0.2">
      <c r="A26" s="44">
        <v>15</v>
      </c>
      <c r="B26" s="31" t="s">
        <v>42</v>
      </c>
      <c r="C26" s="776">
        <f t="shared" si="1"/>
        <v>13333.33</v>
      </c>
      <c r="D26" s="777"/>
      <c r="E26" s="332">
        <f t="shared" si="0"/>
        <v>466666.71000000025</v>
      </c>
      <c r="F26" s="11"/>
    </row>
    <row r="27" spans="1:6" x14ac:dyDescent="0.2">
      <c r="A27" s="44">
        <v>16</v>
      </c>
      <c r="B27" s="31" t="s">
        <v>43</v>
      </c>
      <c r="C27" s="776">
        <f t="shared" si="1"/>
        <v>13333.33</v>
      </c>
      <c r="D27" s="777"/>
      <c r="E27" s="332">
        <f t="shared" si="0"/>
        <v>453333.38000000024</v>
      </c>
      <c r="F27" s="11"/>
    </row>
    <row r="28" spans="1:6" x14ac:dyDescent="0.2">
      <c r="A28" s="44">
        <v>17</v>
      </c>
      <c r="B28" s="31" t="s">
        <v>44</v>
      </c>
      <c r="C28" s="776">
        <f t="shared" si="1"/>
        <v>13333.33</v>
      </c>
      <c r="D28" s="777"/>
      <c r="E28" s="332">
        <f t="shared" si="0"/>
        <v>440000.05000000022</v>
      </c>
      <c r="F28" s="11"/>
    </row>
    <row r="29" spans="1:6" x14ac:dyDescent="0.2">
      <c r="A29" s="44">
        <v>18</v>
      </c>
      <c r="B29" s="31" t="s">
        <v>45</v>
      </c>
      <c r="C29" s="776">
        <f t="shared" si="1"/>
        <v>13333.33</v>
      </c>
      <c r="D29" s="777"/>
      <c r="E29" s="332">
        <f t="shared" si="0"/>
        <v>426666.7200000002</v>
      </c>
      <c r="F29" s="11"/>
    </row>
    <row r="30" spans="1:6" x14ac:dyDescent="0.2">
      <c r="A30" s="44">
        <v>19</v>
      </c>
      <c r="B30" s="31" t="s">
        <v>46</v>
      </c>
      <c r="C30" s="776">
        <f t="shared" si="1"/>
        <v>13333.33</v>
      </c>
      <c r="D30" s="777"/>
      <c r="E30" s="332">
        <f t="shared" si="0"/>
        <v>413333.39000000019</v>
      </c>
      <c r="F30" s="11"/>
    </row>
    <row r="31" spans="1:6" x14ac:dyDescent="0.2">
      <c r="A31" s="44">
        <v>20</v>
      </c>
      <c r="B31" s="31" t="s">
        <v>47</v>
      </c>
      <c r="C31" s="776">
        <f t="shared" si="1"/>
        <v>13333.33</v>
      </c>
      <c r="D31" s="777"/>
      <c r="E31" s="332">
        <f t="shared" si="0"/>
        <v>400000.06000000017</v>
      </c>
      <c r="F31" s="11"/>
    </row>
    <row r="32" spans="1:6" x14ac:dyDescent="0.2">
      <c r="A32" s="44">
        <v>21</v>
      </c>
      <c r="B32" s="31" t="s">
        <v>48</v>
      </c>
      <c r="C32" s="776">
        <f t="shared" si="1"/>
        <v>13333.33</v>
      </c>
      <c r="D32" s="777"/>
      <c r="E32" s="332">
        <f t="shared" si="0"/>
        <v>386666.73000000016</v>
      </c>
      <c r="F32" s="11"/>
    </row>
    <row r="33" spans="1:6" x14ac:dyDescent="0.2">
      <c r="A33" s="44">
        <v>22</v>
      </c>
      <c r="B33" s="31" t="s">
        <v>49</v>
      </c>
      <c r="C33" s="776">
        <f t="shared" si="1"/>
        <v>13333.33</v>
      </c>
      <c r="D33" s="777"/>
      <c r="E33" s="332">
        <f t="shared" si="0"/>
        <v>373333.40000000014</v>
      </c>
      <c r="F33" s="11"/>
    </row>
    <row r="34" spans="1:6" x14ac:dyDescent="0.2">
      <c r="A34" s="44">
        <v>23</v>
      </c>
      <c r="B34" s="31" t="s">
        <v>50</v>
      </c>
      <c r="C34" s="776">
        <f t="shared" si="1"/>
        <v>13333.33</v>
      </c>
      <c r="D34" s="777"/>
      <c r="E34" s="332">
        <f t="shared" si="0"/>
        <v>360000.07000000012</v>
      </c>
      <c r="F34" s="11"/>
    </row>
    <row r="35" spans="1:6" x14ac:dyDescent="0.2">
      <c r="A35" s="44">
        <v>24</v>
      </c>
      <c r="B35" s="31" t="s">
        <v>51</v>
      </c>
      <c r="C35" s="776">
        <f t="shared" si="1"/>
        <v>13333.33</v>
      </c>
      <c r="D35" s="777"/>
      <c r="E35" s="332">
        <f t="shared" si="0"/>
        <v>346666.74000000011</v>
      </c>
      <c r="F35" s="11"/>
    </row>
    <row r="36" spans="1:6" x14ac:dyDescent="0.2">
      <c r="A36" s="44">
        <v>25</v>
      </c>
      <c r="B36" s="31" t="s">
        <v>52</v>
      </c>
      <c r="C36" s="776">
        <f t="shared" si="1"/>
        <v>13333.33</v>
      </c>
      <c r="D36" s="777"/>
      <c r="E36" s="332">
        <f t="shared" si="0"/>
        <v>333333.41000000009</v>
      </c>
      <c r="F36" s="11"/>
    </row>
    <row r="37" spans="1:6" x14ac:dyDescent="0.2">
      <c r="A37" s="44">
        <v>26</v>
      </c>
      <c r="B37" s="31" t="s">
        <v>53</v>
      </c>
      <c r="C37" s="776">
        <f t="shared" si="1"/>
        <v>13333.33</v>
      </c>
      <c r="D37" s="777"/>
      <c r="E37" s="332">
        <f t="shared" si="0"/>
        <v>320000.08000000007</v>
      </c>
      <c r="F37" s="11"/>
    </row>
    <row r="38" spans="1:6" x14ac:dyDescent="0.2">
      <c r="A38" s="44">
        <v>27</v>
      </c>
      <c r="B38" s="31" t="s">
        <v>54</v>
      </c>
      <c r="C38" s="776">
        <f t="shared" si="1"/>
        <v>13333.33</v>
      </c>
      <c r="D38" s="777"/>
      <c r="E38" s="332">
        <f t="shared" si="0"/>
        <v>306666.75000000006</v>
      </c>
      <c r="F38" s="11"/>
    </row>
    <row r="39" spans="1:6" x14ac:dyDescent="0.2">
      <c r="A39" s="44">
        <v>28</v>
      </c>
      <c r="B39" s="31" t="s">
        <v>55</v>
      </c>
      <c r="C39" s="776">
        <f t="shared" si="1"/>
        <v>13333.33</v>
      </c>
      <c r="D39" s="777"/>
      <c r="E39" s="332">
        <f t="shared" si="0"/>
        <v>293333.42000000004</v>
      </c>
      <c r="F39" s="11"/>
    </row>
    <row r="40" spans="1:6" x14ac:dyDescent="0.2">
      <c r="A40" s="44">
        <v>29</v>
      </c>
      <c r="B40" s="31" t="s">
        <v>56</v>
      </c>
      <c r="C40" s="776">
        <f t="shared" si="1"/>
        <v>13333.33</v>
      </c>
      <c r="D40" s="777"/>
      <c r="E40" s="332">
        <f t="shared" si="0"/>
        <v>280000.09000000003</v>
      </c>
      <c r="F40" s="11"/>
    </row>
    <row r="41" spans="1:6" x14ac:dyDescent="0.2">
      <c r="A41" s="44">
        <v>30</v>
      </c>
      <c r="B41" s="31" t="s">
        <v>57</v>
      </c>
      <c r="C41" s="776">
        <f t="shared" si="1"/>
        <v>13333.33</v>
      </c>
      <c r="D41" s="777"/>
      <c r="E41" s="332">
        <f t="shared" si="0"/>
        <v>266666.76</v>
      </c>
      <c r="F41" s="11"/>
    </row>
    <row r="42" spans="1:6" x14ac:dyDescent="0.2">
      <c r="A42" s="44">
        <v>31</v>
      </c>
      <c r="B42" s="31" t="s">
        <v>58</v>
      </c>
      <c r="C42" s="776">
        <f t="shared" si="1"/>
        <v>13333.33</v>
      </c>
      <c r="D42" s="777"/>
      <c r="E42" s="332">
        <f t="shared" si="0"/>
        <v>253333.43000000002</v>
      </c>
      <c r="F42" s="11"/>
    </row>
    <row r="43" spans="1:6" x14ac:dyDescent="0.2">
      <c r="A43" s="44">
        <v>32</v>
      </c>
      <c r="B43" s="31" t="s">
        <v>59</v>
      </c>
      <c r="C43" s="776">
        <f t="shared" si="1"/>
        <v>13333.33</v>
      </c>
      <c r="D43" s="777"/>
      <c r="E43" s="332">
        <f t="shared" si="0"/>
        <v>240000.10000000003</v>
      </c>
      <c r="F43" s="11"/>
    </row>
    <row r="44" spans="1:6" x14ac:dyDescent="0.2">
      <c r="A44" s="44">
        <v>33</v>
      </c>
      <c r="B44" s="31" t="s">
        <v>60</v>
      </c>
      <c r="C44" s="776">
        <f t="shared" si="1"/>
        <v>13333.33</v>
      </c>
      <c r="D44" s="777"/>
      <c r="E44" s="332">
        <f t="shared" si="0"/>
        <v>226666.77000000005</v>
      </c>
      <c r="F44" s="11"/>
    </row>
    <row r="45" spans="1:6" x14ac:dyDescent="0.2">
      <c r="A45" s="44">
        <v>34</v>
      </c>
      <c r="B45" s="31" t="s">
        <v>61</v>
      </c>
      <c r="C45" s="776">
        <f t="shared" si="1"/>
        <v>13333.33</v>
      </c>
      <c r="D45" s="777"/>
      <c r="E45" s="332">
        <f t="shared" si="0"/>
        <v>213333.44000000006</v>
      </c>
      <c r="F45" s="11"/>
    </row>
    <row r="46" spans="1:6" x14ac:dyDescent="0.2">
      <c r="A46" s="44">
        <v>35</v>
      </c>
      <c r="B46" s="31" t="s">
        <v>62</v>
      </c>
      <c r="C46" s="776">
        <f t="shared" si="1"/>
        <v>13333.33</v>
      </c>
      <c r="D46" s="777"/>
      <c r="E46" s="332">
        <f t="shared" si="0"/>
        <v>200000.11000000007</v>
      </c>
      <c r="F46" s="11"/>
    </row>
    <row r="47" spans="1:6" x14ac:dyDescent="0.2">
      <c r="A47" s="44">
        <v>36</v>
      </c>
      <c r="B47" s="31" t="s">
        <v>63</v>
      </c>
      <c r="C47" s="776">
        <f t="shared" si="1"/>
        <v>13333.33</v>
      </c>
      <c r="D47" s="777"/>
      <c r="E47" s="332">
        <f t="shared" si="0"/>
        <v>186666.78000000009</v>
      </c>
      <c r="F47" s="11"/>
    </row>
    <row r="48" spans="1:6" x14ac:dyDescent="0.2">
      <c r="A48" s="44">
        <v>37</v>
      </c>
      <c r="B48" s="31" t="s">
        <v>64</v>
      </c>
      <c r="C48" s="776">
        <f t="shared" si="1"/>
        <v>13333.33</v>
      </c>
      <c r="D48" s="777"/>
      <c r="E48" s="332">
        <f t="shared" si="0"/>
        <v>173333.4500000001</v>
      </c>
      <c r="F48" s="11"/>
    </row>
    <row r="49" spans="1:10" x14ac:dyDescent="0.2">
      <c r="A49" s="44">
        <v>38</v>
      </c>
      <c r="B49" s="31" t="s">
        <v>65</v>
      </c>
      <c r="C49" s="776">
        <f t="shared" si="1"/>
        <v>13333.33</v>
      </c>
      <c r="D49" s="777"/>
      <c r="E49" s="332">
        <f t="shared" si="0"/>
        <v>160000.12000000011</v>
      </c>
      <c r="F49" s="11"/>
    </row>
    <row r="50" spans="1:10" x14ac:dyDescent="0.2">
      <c r="A50" s="44">
        <v>39</v>
      </c>
      <c r="B50" s="31" t="s">
        <v>66</v>
      </c>
      <c r="C50" s="776">
        <f t="shared" si="1"/>
        <v>13333.33</v>
      </c>
      <c r="D50" s="777"/>
      <c r="E50" s="332">
        <f t="shared" si="0"/>
        <v>146666.79000000012</v>
      </c>
      <c r="F50" s="11"/>
    </row>
    <row r="51" spans="1:10" x14ac:dyDescent="0.2">
      <c r="A51" s="44">
        <v>40</v>
      </c>
      <c r="B51" s="31" t="s">
        <v>67</v>
      </c>
      <c r="C51" s="776">
        <f t="shared" si="1"/>
        <v>13333.33</v>
      </c>
      <c r="D51" s="777"/>
      <c r="E51" s="332">
        <f t="shared" si="0"/>
        <v>133333.46000000014</v>
      </c>
      <c r="F51" s="11"/>
    </row>
    <row r="52" spans="1:10" x14ac:dyDescent="0.2">
      <c r="A52" s="44">
        <v>41</v>
      </c>
      <c r="B52" s="31" t="s">
        <v>68</v>
      </c>
      <c r="C52" s="776">
        <f t="shared" si="1"/>
        <v>13333.33</v>
      </c>
      <c r="D52" s="777"/>
      <c r="E52" s="332">
        <f t="shared" si="0"/>
        <v>120000.13000000014</v>
      </c>
      <c r="F52" s="11"/>
    </row>
    <row r="53" spans="1:10" x14ac:dyDescent="0.2">
      <c r="A53" s="44">
        <v>42</v>
      </c>
      <c r="B53" s="31" t="s">
        <v>69</v>
      </c>
      <c r="C53" s="776">
        <f t="shared" si="1"/>
        <v>13333.33</v>
      </c>
      <c r="D53" s="777"/>
      <c r="E53" s="332">
        <f t="shared" si="0"/>
        <v>106666.80000000013</v>
      </c>
      <c r="F53" s="11"/>
    </row>
    <row r="54" spans="1:10" x14ac:dyDescent="0.2">
      <c r="A54" s="44">
        <v>43</v>
      </c>
      <c r="B54" s="31" t="s">
        <v>70</v>
      </c>
      <c r="C54" s="776">
        <f t="shared" si="1"/>
        <v>13333.33</v>
      </c>
      <c r="D54" s="777"/>
      <c r="E54" s="332">
        <f t="shared" si="0"/>
        <v>93333.470000000132</v>
      </c>
      <c r="F54" s="11"/>
    </row>
    <row r="55" spans="1:10" x14ac:dyDescent="0.2">
      <c r="A55" s="44">
        <v>44</v>
      </c>
      <c r="B55" s="31" t="s">
        <v>71</v>
      </c>
      <c r="C55" s="776">
        <f t="shared" si="1"/>
        <v>13333.33</v>
      </c>
      <c r="D55" s="777"/>
      <c r="E55" s="332">
        <f t="shared" si="0"/>
        <v>80000.14000000013</v>
      </c>
      <c r="F55" s="11"/>
    </row>
    <row r="56" spans="1:10" x14ac:dyDescent="0.2">
      <c r="A56" s="44">
        <v>45</v>
      </c>
      <c r="B56" s="31" t="s">
        <v>72</v>
      </c>
      <c r="C56" s="776">
        <f t="shared" si="1"/>
        <v>13333.33</v>
      </c>
      <c r="D56" s="777"/>
      <c r="E56" s="332">
        <f t="shared" si="0"/>
        <v>66666.810000000129</v>
      </c>
      <c r="F56" s="11"/>
    </row>
    <row r="57" spans="1:10" x14ac:dyDescent="0.2">
      <c r="A57" s="44">
        <v>46</v>
      </c>
      <c r="B57" s="31" t="s">
        <v>73</v>
      </c>
      <c r="C57" s="776">
        <f t="shared" si="1"/>
        <v>13333.33</v>
      </c>
      <c r="D57" s="777"/>
      <c r="E57" s="332">
        <f t="shared" si="0"/>
        <v>53333.480000000127</v>
      </c>
      <c r="F57" s="11"/>
    </row>
    <row r="58" spans="1:10" x14ac:dyDescent="0.2">
      <c r="A58" s="44">
        <v>47</v>
      </c>
      <c r="B58" s="31" t="s">
        <v>74</v>
      </c>
      <c r="C58" s="776">
        <f t="shared" si="1"/>
        <v>13333.33</v>
      </c>
      <c r="D58" s="777"/>
      <c r="E58" s="332">
        <f t="shared" si="0"/>
        <v>40000.150000000125</v>
      </c>
      <c r="F58" s="11"/>
    </row>
    <row r="59" spans="1:10" x14ac:dyDescent="0.2">
      <c r="A59" s="44">
        <v>48</v>
      </c>
      <c r="B59" s="31" t="s">
        <v>75</v>
      </c>
      <c r="C59" s="776">
        <f t="shared" si="1"/>
        <v>13333.33</v>
      </c>
      <c r="D59" s="777"/>
      <c r="E59" s="332">
        <f t="shared" si="0"/>
        <v>26666.820000000123</v>
      </c>
      <c r="F59" s="11"/>
    </row>
    <row r="60" spans="1:10" x14ac:dyDescent="0.2">
      <c r="A60" s="44">
        <v>49</v>
      </c>
      <c r="B60" s="31" t="s">
        <v>76</v>
      </c>
      <c r="C60" s="776">
        <f t="shared" si="1"/>
        <v>13333.33</v>
      </c>
      <c r="D60" s="777"/>
      <c r="E60" s="332">
        <f t="shared" si="0"/>
        <v>13333.490000000123</v>
      </c>
      <c r="F60" s="11"/>
    </row>
    <row r="61" spans="1:10" x14ac:dyDescent="0.2">
      <c r="A61" s="44">
        <v>50</v>
      </c>
      <c r="B61" s="31" t="s">
        <v>77</v>
      </c>
      <c r="C61" s="776">
        <f>E60</f>
        <v>13333.490000000123</v>
      </c>
      <c r="D61" s="777"/>
      <c r="E61" s="332">
        <f t="shared" si="0"/>
        <v>0</v>
      </c>
      <c r="F61" s="11"/>
    </row>
    <row r="62" spans="1:10" s="39" customFormat="1" x14ac:dyDescent="0.2">
      <c r="A62" s="10" t="s">
        <v>113</v>
      </c>
      <c r="B62" s="35"/>
      <c r="C62" s="36"/>
      <c r="D62" s="36"/>
      <c r="G62" s="37"/>
      <c r="H62" s="38"/>
      <c r="I62" s="38"/>
      <c r="J62" s="38"/>
    </row>
    <row r="63" spans="1:10" s="39" customFormat="1" ht="29.25" customHeight="1" x14ac:dyDescent="0.2">
      <c r="A63" s="722" t="s">
        <v>114</v>
      </c>
      <c r="B63" s="722"/>
      <c r="C63" s="722"/>
      <c r="D63" s="722"/>
      <c r="E63" s="722"/>
      <c r="F63" s="147"/>
      <c r="G63" s="37"/>
      <c r="H63" s="38"/>
      <c r="I63" s="38"/>
      <c r="J63" s="38"/>
    </row>
    <row r="64" spans="1:10" s="39" customFormat="1" x14ac:dyDescent="0.2">
      <c r="A64" s="40" t="s">
        <v>419</v>
      </c>
      <c r="B64" s="41"/>
      <c r="C64" s="41"/>
      <c r="D64" s="41"/>
      <c r="E64" s="41"/>
      <c r="F64" s="148"/>
      <c r="G64" s="37"/>
      <c r="H64" s="38"/>
      <c r="I64" s="38"/>
      <c r="J64" s="38"/>
    </row>
    <row r="65" spans="1:10" s="39" customFormat="1" ht="29.25" customHeight="1" x14ac:dyDescent="0.2">
      <c r="A65" s="722" t="s">
        <v>420</v>
      </c>
      <c r="B65" s="722"/>
      <c r="C65" s="722"/>
      <c r="D65" s="722"/>
      <c r="E65" s="722"/>
      <c r="F65" s="147"/>
      <c r="G65" s="37"/>
      <c r="H65" s="38"/>
      <c r="I65" s="38"/>
      <c r="J65" s="38"/>
    </row>
    <row r="66" spans="1:10" s="39" customFormat="1" x14ac:dyDescent="0.2">
      <c r="A66" s="40" t="s">
        <v>421</v>
      </c>
      <c r="B66" s="42"/>
      <c r="C66" s="42"/>
      <c r="D66" s="42"/>
      <c r="E66" s="42"/>
      <c r="F66" s="149"/>
      <c r="G66" s="37"/>
      <c r="H66" s="38"/>
      <c r="I66" s="38"/>
      <c r="J66" s="38"/>
    </row>
    <row r="67" spans="1:10" s="39" customFormat="1" x14ac:dyDescent="0.2">
      <c r="B67" s="42"/>
      <c r="C67" s="42"/>
      <c r="D67" s="42"/>
      <c r="E67" s="42"/>
      <c r="F67" s="149"/>
      <c r="G67" s="37"/>
      <c r="H67" s="38"/>
      <c r="I67" s="38"/>
      <c r="J67" s="38"/>
    </row>
    <row r="71" spans="1:10" x14ac:dyDescent="0.2">
      <c r="A71" s="761" t="s">
        <v>422</v>
      </c>
      <c r="B71" s="761"/>
      <c r="C71" s="1"/>
      <c r="D71" s="761" t="s">
        <v>447</v>
      </c>
      <c r="E71" s="761"/>
      <c r="F71" s="150"/>
    </row>
  </sheetData>
  <sheetProtection selectLockedCells="1"/>
  <mergeCells count="59">
    <mergeCell ref="B2:C2"/>
    <mergeCell ref="B3:C3"/>
    <mergeCell ref="B4:C4"/>
    <mergeCell ref="C10:D10"/>
    <mergeCell ref="C11:D11"/>
    <mergeCell ref="C19:D19"/>
    <mergeCell ref="C20:D20"/>
    <mergeCell ref="C21:D21"/>
    <mergeCell ref="C12:D12"/>
    <mergeCell ref="C13:D13"/>
    <mergeCell ref="C14:D14"/>
    <mergeCell ref="C15:D15"/>
    <mergeCell ref="C16:D16"/>
    <mergeCell ref="C17:D17"/>
    <mergeCell ref="C18:D18"/>
    <mergeCell ref="C22:D22"/>
    <mergeCell ref="C23:D23"/>
    <mergeCell ref="C36:D36"/>
    <mergeCell ref="C25:D25"/>
    <mergeCell ref="C26:D26"/>
    <mergeCell ref="C27:D27"/>
    <mergeCell ref="C28:D28"/>
    <mergeCell ref="C29:D29"/>
    <mergeCell ref="C30:D30"/>
    <mergeCell ref="C31:D31"/>
    <mergeCell ref="C24:D24"/>
    <mergeCell ref="C49:D49"/>
    <mergeCell ref="C32:D32"/>
    <mergeCell ref="C33:D33"/>
    <mergeCell ref="C34:D34"/>
    <mergeCell ref="C35:D35"/>
    <mergeCell ref="C48:D48"/>
    <mergeCell ref="C37:D37"/>
    <mergeCell ref="C38:D38"/>
    <mergeCell ref="C39:D39"/>
    <mergeCell ref="C40:D40"/>
    <mergeCell ref="C42:D42"/>
    <mergeCell ref="C43:D43"/>
    <mergeCell ref="C44:D44"/>
    <mergeCell ref="C45:D45"/>
    <mergeCell ref="C41:D41"/>
    <mergeCell ref="C59:D59"/>
    <mergeCell ref="C46:D46"/>
    <mergeCell ref="C47:D47"/>
    <mergeCell ref="C50:D50"/>
    <mergeCell ref="C51:D51"/>
    <mergeCell ref="C52:D52"/>
    <mergeCell ref="C53:D53"/>
    <mergeCell ref="C54:D54"/>
    <mergeCell ref="C58:D58"/>
    <mergeCell ref="C55:D55"/>
    <mergeCell ref="C56:D56"/>
    <mergeCell ref="C57:D57"/>
    <mergeCell ref="C60:D60"/>
    <mergeCell ref="C61:D61"/>
    <mergeCell ref="A63:E63"/>
    <mergeCell ref="A65:E65"/>
    <mergeCell ref="A71:B71"/>
    <mergeCell ref="D71:E71"/>
  </mergeCells>
  <hyperlinks>
    <hyperlink ref="E5" location="INPUT!A1" display="BACK TO INPUT" xr:uid="{00000000-0004-0000-1400-000000000000}"/>
  </hyperlinks>
  <printOptions horizontalCentered="1"/>
  <pageMargins left="0.25" right="0.25" top="0.5" bottom="0.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dimension ref="B3:C7"/>
  <sheetViews>
    <sheetView workbookViewId="0">
      <selection activeCell="E13" sqref="E13"/>
    </sheetView>
  </sheetViews>
  <sheetFormatPr baseColWidth="10" defaultColWidth="8.83203125" defaultRowHeight="15" x14ac:dyDescent="0.2"/>
  <cols>
    <col min="2" max="2" width="12.6640625" customWidth="1"/>
  </cols>
  <sheetData>
    <row r="3" spans="2:3" x14ac:dyDescent="0.2">
      <c r="B3" t="s">
        <v>525</v>
      </c>
      <c r="C3">
        <f>COUNTIF('SOLA Pricelist'!$A$10:$I$62,"*Mountain View*")</f>
        <v>0</v>
      </c>
    </row>
    <row r="4" spans="2:3" x14ac:dyDescent="0.2">
      <c r="B4" t="s">
        <v>526</v>
      </c>
      <c r="C4" s="9">
        <f>COUNTIF('SOLA Pricelist'!$A$10:$I$62,"*Lagoon View*")</f>
        <v>0</v>
      </c>
    </row>
    <row r="5" spans="2:3" x14ac:dyDescent="0.2">
      <c r="B5" t="s">
        <v>527</v>
      </c>
      <c r="C5" s="9">
        <f>COUNTIF('SOLA Pricelist'!$A$10:$I$62,"*Sea View*")</f>
        <v>0</v>
      </c>
    </row>
    <row r="6" spans="2:3" x14ac:dyDescent="0.2">
      <c r="B6" t="s">
        <v>528</v>
      </c>
      <c r="C6" s="9">
        <f>COUNTIF('SOLA Pricelist'!$A$10:$I$62,"*Penthouse*")</f>
        <v>0</v>
      </c>
    </row>
    <row r="7" spans="2:3" x14ac:dyDescent="0.2">
      <c r="B7" t="s">
        <v>529</v>
      </c>
      <c r="C7" s="9">
        <f>COUNTIF('SOLA Pricelist'!$A$10:$I$62,"*Mountain View*")</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002060"/>
  </sheetPr>
  <dimension ref="B2:F129"/>
  <sheetViews>
    <sheetView topLeftCell="A28" workbookViewId="0">
      <selection activeCell="G130" sqref="G130"/>
    </sheetView>
  </sheetViews>
  <sheetFormatPr baseColWidth="10" defaultColWidth="8.83203125" defaultRowHeight="15" x14ac:dyDescent="0.2"/>
  <sheetData>
    <row r="2" spans="2:6" x14ac:dyDescent="0.2">
      <c r="B2" t="s">
        <v>504</v>
      </c>
    </row>
    <row r="3" spans="2:6" ht="16" x14ac:dyDescent="0.2">
      <c r="B3" s="21" t="s">
        <v>97</v>
      </c>
      <c r="C3" s="297" t="s">
        <v>11</v>
      </c>
      <c r="D3" s="297" t="s">
        <v>5</v>
      </c>
      <c r="E3" s="297" t="s">
        <v>6</v>
      </c>
    </row>
    <row r="4" spans="2:6" x14ac:dyDescent="0.2">
      <c r="B4" s="269" t="s">
        <v>140</v>
      </c>
      <c r="C4" s="270" t="s">
        <v>430</v>
      </c>
      <c r="D4" s="271" t="s">
        <v>18</v>
      </c>
      <c r="E4" s="270" t="s">
        <v>16</v>
      </c>
      <c r="F4" t="s">
        <v>502</v>
      </c>
    </row>
    <row r="5" spans="2:6" x14ac:dyDescent="0.2">
      <c r="B5" s="269" t="s">
        <v>147</v>
      </c>
      <c r="C5" s="270">
        <v>2</v>
      </c>
      <c r="D5" s="271" t="s">
        <v>15</v>
      </c>
      <c r="E5" s="270" t="s">
        <v>16</v>
      </c>
      <c r="F5" s="9" t="s">
        <v>502</v>
      </c>
    </row>
    <row r="6" spans="2:6" x14ac:dyDescent="0.2">
      <c r="B6" s="269" t="s">
        <v>149</v>
      </c>
      <c r="C6" s="270">
        <v>2</v>
      </c>
      <c r="D6" s="271" t="s">
        <v>18</v>
      </c>
      <c r="E6" s="270" t="s">
        <v>16</v>
      </c>
      <c r="F6" s="9" t="s">
        <v>502</v>
      </c>
    </row>
    <row r="7" spans="2:6" x14ac:dyDescent="0.2">
      <c r="B7" s="269" t="s">
        <v>151</v>
      </c>
      <c r="C7" s="270">
        <v>2</v>
      </c>
      <c r="D7" s="271" t="s">
        <v>20</v>
      </c>
      <c r="E7" s="270" t="s">
        <v>16</v>
      </c>
      <c r="F7" s="9" t="s">
        <v>502</v>
      </c>
    </row>
    <row r="8" spans="2:6" x14ac:dyDescent="0.2">
      <c r="B8" s="269" t="s">
        <v>153</v>
      </c>
      <c r="C8" s="270">
        <v>2</v>
      </c>
      <c r="D8" s="271" t="s">
        <v>464</v>
      </c>
      <c r="E8" s="270" t="s">
        <v>16</v>
      </c>
      <c r="F8" s="9" t="s">
        <v>502</v>
      </c>
    </row>
    <row r="9" spans="2:6" x14ac:dyDescent="0.2">
      <c r="B9" s="269" t="s">
        <v>155</v>
      </c>
      <c r="C9" s="270">
        <v>2</v>
      </c>
      <c r="D9" s="271" t="s">
        <v>466</v>
      </c>
      <c r="E9" s="270" t="s">
        <v>16</v>
      </c>
      <c r="F9" s="9" t="s">
        <v>502</v>
      </c>
    </row>
    <row r="10" spans="2:6" x14ac:dyDescent="0.2">
      <c r="B10" s="269" t="s">
        <v>157</v>
      </c>
      <c r="C10" s="270">
        <v>2</v>
      </c>
      <c r="D10" s="271" t="s">
        <v>468</v>
      </c>
      <c r="E10" s="270" t="s">
        <v>16</v>
      </c>
      <c r="F10" s="9" t="s">
        <v>502</v>
      </c>
    </row>
    <row r="11" spans="2:6" x14ac:dyDescent="0.2">
      <c r="B11" s="269" t="s">
        <v>159</v>
      </c>
      <c r="C11" s="270">
        <v>2</v>
      </c>
      <c r="D11" s="271">
        <v>18</v>
      </c>
      <c r="E11" s="270" t="s">
        <v>16</v>
      </c>
      <c r="F11" s="9" t="s">
        <v>502</v>
      </c>
    </row>
    <row r="12" spans="2:6" x14ac:dyDescent="0.2">
      <c r="B12" s="269" t="s">
        <v>169</v>
      </c>
      <c r="C12" s="270">
        <v>3</v>
      </c>
      <c r="D12" s="271" t="s">
        <v>15</v>
      </c>
      <c r="E12" s="270" t="s">
        <v>16</v>
      </c>
      <c r="F12" s="9" t="s">
        <v>502</v>
      </c>
    </row>
    <row r="13" spans="2:6" x14ac:dyDescent="0.2">
      <c r="B13" s="269" t="s">
        <v>171</v>
      </c>
      <c r="C13" s="270">
        <v>3</v>
      </c>
      <c r="D13" s="271" t="s">
        <v>18</v>
      </c>
      <c r="E13" s="270" t="s">
        <v>16</v>
      </c>
      <c r="F13" s="9" t="s">
        <v>502</v>
      </c>
    </row>
    <row r="14" spans="2:6" x14ac:dyDescent="0.2">
      <c r="B14" s="269" t="s">
        <v>173</v>
      </c>
      <c r="C14" s="270">
        <v>3</v>
      </c>
      <c r="D14" s="271" t="s">
        <v>20</v>
      </c>
      <c r="E14" s="270" t="s">
        <v>16</v>
      </c>
      <c r="F14" s="9" t="s">
        <v>502</v>
      </c>
    </row>
    <row r="15" spans="2:6" x14ac:dyDescent="0.2">
      <c r="B15" s="269" t="s">
        <v>175</v>
      </c>
      <c r="C15" s="270">
        <v>3</v>
      </c>
      <c r="D15" s="271" t="s">
        <v>464</v>
      </c>
      <c r="E15" s="270" t="s">
        <v>16</v>
      </c>
      <c r="F15" s="9" t="s">
        <v>502</v>
      </c>
    </row>
    <row r="16" spans="2:6" x14ac:dyDescent="0.2">
      <c r="B16" s="269" t="s">
        <v>177</v>
      </c>
      <c r="C16" s="270">
        <v>3</v>
      </c>
      <c r="D16" s="271" t="s">
        <v>466</v>
      </c>
      <c r="E16" s="270" t="s">
        <v>16</v>
      </c>
      <c r="F16" s="9" t="s">
        <v>502</v>
      </c>
    </row>
    <row r="17" spans="2:6" x14ac:dyDescent="0.2">
      <c r="B17" s="269" t="s">
        <v>179</v>
      </c>
      <c r="C17" s="270">
        <v>3</v>
      </c>
      <c r="D17" s="271" t="s">
        <v>468</v>
      </c>
      <c r="E17" s="270" t="s">
        <v>16</v>
      </c>
      <c r="F17" s="9" t="s">
        <v>502</v>
      </c>
    </row>
    <row r="18" spans="2:6" x14ac:dyDescent="0.2">
      <c r="B18" s="269" t="s">
        <v>181</v>
      </c>
      <c r="C18" s="270">
        <v>3</v>
      </c>
      <c r="D18" s="271">
        <v>18</v>
      </c>
      <c r="E18" s="270" t="s">
        <v>16</v>
      </c>
      <c r="F18" s="9" t="s">
        <v>502</v>
      </c>
    </row>
    <row r="19" spans="2:6" x14ac:dyDescent="0.2">
      <c r="B19" s="269" t="s">
        <v>185</v>
      </c>
      <c r="C19" s="270">
        <v>3</v>
      </c>
      <c r="D19" s="271">
        <v>22</v>
      </c>
      <c r="E19" s="270" t="s">
        <v>16</v>
      </c>
      <c r="F19" s="9" t="s">
        <v>502</v>
      </c>
    </row>
    <row r="20" spans="2:6" x14ac:dyDescent="0.2">
      <c r="B20" s="269" t="s">
        <v>190</v>
      </c>
      <c r="C20" s="270">
        <v>5</v>
      </c>
      <c r="D20" s="271" t="s">
        <v>15</v>
      </c>
      <c r="E20" s="270" t="s">
        <v>16</v>
      </c>
      <c r="F20" s="9" t="s">
        <v>502</v>
      </c>
    </row>
    <row r="21" spans="2:6" x14ac:dyDescent="0.2">
      <c r="B21" s="269" t="s">
        <v>192</v>
      </c>
      <c r="C21" s="270">
        <v>5</v>
      </c>
      <c r="D21" s="271" t="s">
        <v>18</v>
      </c>
      <c r="E21" s="270" t="s">
        <v>16</v>
      </c>
      <c r="F21" s="9" t="s">
        <v>502</v>
      </c>
    </row>
    <row r="22" spans="2:6" x14ac:dyDescent="0.2">
      <c r="B22" s="269" t="s">
        <v>194</v>
      </c>
      <c r="C22" s="270">
        <v>5</v>
      </c>
      <c r="D22" s="271" t="s">
        <v>20</v>
      </c>
      <c r="E22" s="270" t="s">
        <v>16</v>
      </c>
      <c r="F22" s="9" t="s">
        <v>502</v>
      </c>
    </row>
    <row r="23" spans="2:6" x14ac:dyDescent="0.2">
      <c r="B23" s="269" t="s">
        <v>196</v>
      </c>
      <c r="C23" s="270">
        <v>5</v>
      </c>
      <c r="D23" s="271" t="s">
        <v>464</v>
      </c>
      <c r="E23" s="270" t="s">
        <v>16</v>
      </c>
      <c r="F23" s="9" t="s">
        <v>502</v>
      </c>
    </row>
    <row r="24" spans="2:6" x14ac:dyDescent="0.2">
      <c r="B24" s="269" t="s">
        <v>197</v>
      </c>
      <c r="C24" s="270">
        <v>5</v>
      </c>
      <c r="D24" s="271" t="s">
        <v>466</v>
      </c>
      <c r="E24" s="270" t="s">
        <v>16</v>
      </c>
      <c r="F24" s="9" t="s">
        <v>502</v>
      </c>
    </row>
    <row r="25" spans="2:6" x14ac:dyDescent="0.2">
      <c r="B25" s="269" t="s">
        <v>199</v>
      </c>
      <c r="C25" s="270">
        <v>5</v>
      </c>
      <c r="D25" s="271" t="s">
        <v>468</v>
      </c>
      <c r="E25" s="270" t="s">
        <v>16</v>
      </c>
      <c r="F25" s="9" t="s">
        <v>502</v>
      </c>
    </row>
    <row r="26" spans="2:6" x14ac:dyDescent="0.2">
      <c r="B26" s="269" t="s">
        <v>201</v>
      </c>
      <c r="C26" s="292">
        <v>5</v>
      </c>
      <c r="D26" s="292">
        <v>18</v>
      </c>
      <c r="E26" s="292" t="s">
        <v>16</v>
      </c>
      <c r="F26" s="9" t="s">
        <v>502</v>
      </c>
    </row>
    <row r="27" spans="2:6" x14ac:dyDescent="0.2">
      <c r="B27" s="269" t="s">
        <v>203</v>
      </c>
      <c r="C27" s="292">
        <v>5</v>
      </c>
      <c r="D27" s="292">
        <v>20</v>
      </c>
      <c r="E27" s="292" t="s">
        <v>16</v>
      </c>
      <c r="F27" s="9" t="s">
        <v>502</v>
      </c>
    </row>
    <row r="28" spans="2:6" x14ac:dyDescent="0.2">
      <c r="B28" s="269" t="s">
        <v>205</v>
      </c>
      <c r="C28" s="292">
        <v>5</v>
      </c>
      <c r="D28" s="292">
        <v>22</v>
      </c>
      <c r="E28" s="292" t="s">
        <v>16</v>
      </c>
      <c r="F28" s="9" t="s">
        <v>502</v>
      </c>
    </row>
    <row r="29" spans="2:6" x14ac:dyDescent="0.2">
      <c r="B29" s="269" t="s">
        <v>209</v>
      </c>
      <c r="C29" s="270">
        <v>6</v>
      </c>
      <c r="D29" s="271" t="s">
        <v>15</v>
      </c>
      <c r="E29" s="270" t="s">
        <v>16</v>
      </c>
      <c r="F29" s="9" t="s">
        <v>502</v>
      </c>
    </row>
    <row r="30" spans="2:6" x14ac:dyDescent="0.2">
      <c r="B30" s="269" t="s">
        <v>210</v>
      </c>
      <c r="C30" s="270">
        <v>6</v>
      </c>
      <c r="D30" s="271" t="s">
        <v>18</v>
      </c>
      <c r="E30" s="270" t="s">
        <v>16</v>
      </c>
      <c r="F30" s="9" t="s">
        <v>502</v>
      </c>
    </row>
    <row r="31" spans="2:6" x14ac:dyDescent="0.2">
      <c r="B31" s="269" t="s">
        <v>211</v>
      </c>
      <c r="C31" s="270">
        <v>6</v>
      </c>
      <c r="D31" s="271" t="s">
        <v>20</v>
      </c>
      <c r="E31" s="270" t="s">
        <v>16</v>
      </c>
      <c r="F31" s="9" t="s">
        <v>502</v>
      </c>
    </row>
    <row r="32" spans="2:6" x14ac:dyDescent="0.2">
      <c r="B32" s="269" t="s">
        <v>212</v>
      </c>
      <c r="C32" s="270">
        <v>6</v>
      </c>
      <c r="D32" s="271" t="s">
        <v>464</v>
      </c>
      <c r="E32" s="270" t="s">
        <v>16</v>
      </c>
      <c r="F32" s="9" t="s">
        <v>502</v>
      </c>
    </row>
    <row r="33" spans="2:6" x14ac:dyDescent="0.2">
      <c r="B33" s="269" t="s">
        <v>213</v>
      </c>
      <c r="C33" s="270">
        <v>6</v>
      </c>
      <c r="D33" s="271" t="s">
        <v>468</v>
      </c>
      <c r="E33" s="270" t="s">
        <v>16</v>
      </c>
      <c r="F33" s="9" t="s">
        <v>502</v>
      </c>
    </row>
    <row r="34" spans="2:6" x14ac:dyDescent="0.2">
      <c r="B34" s="269" t="s">
        <v>214</v>
      </c>
      <c r="C34" s="292">
        <v>6</v>
      </c>
      <c r="D34" s="292">
        <v>18</v>
      </c>
      <c r="E34" s="292" t="s">
        <v>16</v>
      </c>
      <c r="F34" s="9" t="s">
        <v>502</v>
      </c>
    </row>
    <row r="35" spans="2:6" x14ac:dyDescent="0.2">
      <c r="B35" s="269" t="s">
        <v>215</v>
      </c>
      <c r="C35" s="292">
        <v>6</v>
      </c>
      <c r="D35" s="292">
        <v>20</v>
      </c>
      <c r="E35" s="292" t="s">
        <v>16</v>
      </c>
      <c r="F35" s="9" t="s">
        <v>502</v>
      </c>
    </row>
    <row r="36" spans="2:6" x14ac:dyDescent="0.2">
      <c r="B36" s="269" t="s">
        <v>216</v>
      </c>
      <c r="C36" s="292">
        <v>6</v>
      </c>
      <c r="D36" s="292">
        <v>22</v>
      </c>
      <c r="E36" s="292" t="s">
        <v>16</v>
      </c>
      <c r="F36" s="9" t="s">
        <v>502</v>
      </c>
    </row>
    <row r="37" spans="2:6" x14ac:dyDescent="0.2">
      <c r="B37" s="269" t="s">
        <v>217</v>
      </c>
      <c r="C37" s="270">
        <v>7</v>
      </c>
      <c r="D37" s="271" t="s">
        <v>15</v>
      </c>
      <c r="E37" s="270" t="s">
        <v>16</v>
      </c>
      <c r="F37" s="9" t="s">
        <v>502</v>
      </c>
    </row>
    <row r="38" spans="2:6" x14ac:dyDescent="0.2">
      <c r="B38" s="269" t="s">
        <v>218</v>
      </c>
      <c r="C38" s="270">
        <v>7</v>
      </c>
      <c r="D38" s="271" t="s">
        <v>18</v>
      </c>
      <c r="E38" s="270" t="s">
        <v>16</v>
      </c>
      <c r="F38" s="9" t="s">
        <v>502</v>
      </c>
    </row>
    <row r="39" spans="2:6" x14ac:dyDescent="0.2">
      <c r="B39" s="269" t="s">
        <v>219</v>
      </c>
      <c r="C39" s="270">
        <v>7</v>
      </c>
      <c r="D39" s="271" t="s">
        <v>20</v>
      </c>
      <c r="E39" s="270" t="s">
        <v>16</v>
      </c>
      <c r="F39" s="9" t="s">
        <v>502</v>
      </c>
    </row>
    <row r="40" spans="2:6" x14ac:dyDescent="0.2">
      <c r="B40" s="269" t="s">
        <v>220</v>
      </c>
      <c r="C40" s="270">
        <v>7</v>
      </c>
      <c r="D40" s="271" t="s">
        <v>464</v>
      </c>
      <c r="E40" s="270" t="s">
        <v>16</v>
      </c>
      <c r="F40" s="9" t="s">
        <v>502</v>
      </c>
    </row>
    <row r="41" spans="2:6" x14ac:dyDescent="0.2">
      <c r="B41" s="269" t="s">
        <v>221</v>
      </c>
      <c r="C41" s="270">
        <v>7</v>
      </c>
      <c r="D41" s="271" t="s">
        <v>466</v>
      </c>
      <c r="E41" s="270" t="s">
        <v>16</v>
      </c>
      <c r="F41" s="9" t="s">
        <v>502</v>
      </c>
    </row>
    <row r="42" spans="2:6" x14ac:dyDescent="0.2">
      <c r="B42" s="269" t="s">
        <v>222</v>
      </c>
      <c r="C42" s="270">
        <v>7</v>
      </c>
      <c r="D42" s="271" t="s">
        <v>468</v>
      </c>
      <c r="E42" s="270" t="s">
        <v>16</v>
      </c>
      <c r="F42" s="9" t="s">
        <v>502</v>
      </c>
    </row>
    <row r="43" spans="2:6" x14ac:dyDescent="0.2">
      <c r="B43" s="269" t="s">
        <v>223</v>
      </c>
      <c r="C43" s="292">
        <v>7</v>
      </c>
      <c r="D43" s="292">
        <v>18</v>
      </c>
      <c r="E43" s="292" t="s">
        <v>16</v>
      </c>
      <c r="F43" s="9" t="s">
        <v>502</v>
      </c>
    </row>
    <row r="44" spans="2:6" x14ac:dyDescent="0.2">
      <c r="B44" s="269" t="s">
        <v>224</v>
      </c>
      <c r="C44" s="292">
        <v>7</v>
      </c>
      <c r="D44" s="292">
        <v>20</v>
      </c>
      <c r="E44" s="292" t="s">
        <v>16</v>
      </c>
      <c r="F44" s="9" t="s">
        <v>502</v>
      </c>
    </row>
    <row r="45" spans="2:6" x14ac:dyDescent="0.2">
      <c r="B45" s="269" t="s">
        <v>225</v>
      </c>
      <c r="C45" s="292">
        <v>7</v>
      </c>
      <c r="D45" s="292">
        <v>22</v>
      </c>
      <c r="E45" s="292" t="s">
        <v>16</v>
      </c>
      <c r="F45" s="9" t="s">
        <v>502</v>
      </c>
    </row>
    <row r="46" spans="2:6" x14ac:dyDescent="0.2">
      <c r="B46" s="269" t="s">
        <v>226</v>
      </c>
      <c r="C46" s="270">
        <v>8</v>
      </c>
      <c r="D46" s="271" t="s">
        <v>15</v>
      </c>
      <c r="E46" s="270" t="s">
        <v>16</v>
      </c>
      <c r="F46" s="9" t="s">
        <v>502</v>
      </c>
    </row>
    <row r="47" spans="2:6" x14ac:dyDescent="0.2">
      <c r="B47" s="269" t="s">
        <v>227</v>
      </c>
      <c r="C47" s="270">
        <v>8</v>
      </c>
      <c r="D47" s="271" t="s">
        <v>18</v>
      </c>
      <c r="E47" s="270" t="s">
        <v>16</v>
      </c>
      <c r="F47" s="9" t="s">
        <v>502</v>
      </c>
    </row>
    <row r="48" spans="2:6" x14ac:dyDescent="0.2">
      <c r="B48" s="269" t="s">
        <v>228</v>
      </c>
      <c r="C48" s="270">
        <v>8</v>
      </c>
      <c r="D48" s="271" t="s">
        <v>464</v>
      </c>
      <c r="E48" s="270" t="s">
        <v>16</v>
      </c>
      <c r="F48" s="9" t="s">
        <v>502</v>
      </c>
    </row>
    <row r="49" spans="2:6" x14ac:dyDescent="0.2">
      <c r="B49" s="269" t="s">
        <v>229</v>
      </c>
      <c r="C49" s="270">
        <v>8</v>
      </c>
      <c r="D49" s="271" t="s">
        <v>466</v>
      </c>
      <c r="E49" s="270" t="s">
        <v>16</v>
      </c>
      <c r="F49" s="9" t="s">
        <v>502</v>
      </c>
    </row>
    <row r="50" spans="2:6" x14ac:dyDescent="0.2">
      <c r="B50" s="269" t="s">
        <v>230</v>
      </c>
      <c r="C50" s="270">
        <v>8</v>
      </c>
      <c r="D50" s="271" t="s">
        <v>468</v>
      </c>
      <c r="E50" s="270" t="s">
        <v>16</v>
      </c>
      <c r="F50" s="9" t="s">
        <v>502</v>
      </c>
    </row>
    <row r="51" spans="2:6" x14ac:dyDescent="0.2">
      <c r="B51" s="269" t="s">
        <v>231</v>
      </c>
      <c r="C51" s="292">
        <v>8</v>
      </c>
      <c r="D51" s="292">
        <v>18</v>
      </c>
      <c r="E51" s="292" t="s">
        <v>16</v>
      </c>
      <c r="F51" s="9" t="s">
        <v>502</v>
      </c>
    </row>
    <row r="52" spans="2:6" x14ac:dyDescent="0.2">
      <c r="B52" s="269" t="s">
        <v>232</v>
      </c>
      <c r="C52" s="292">
        <v>8</v>
      </c>
      <c r="D52" s="292">
        <v>20</v>
      </c>
      <c r="E52" s="292" t="s">
        <v>16</v>
      </c>
      <c r="F52" s="9" t="s">
        <v>502</v>
      </c>
    </row>
    <row r="53" spans="2:6" x14ac:dyDescent="0.2">
      <c r="B53" s="269" t="s">
        <v>233</v>
      </c>
      <c r="C53" s="292">
        <v>8</v>
      </c>
      <c r="D53" s="292">
        <v>22</v>
      </c>
      <c r="E53" s="292" t="s">
        <v>16</v>
      </c>
      <c r="F53" s="9" t="s">
        <v>502</v>
      </c>
    </row>
    <row r="54" spans="2:6" x14ac:dyDescent="0.2">
      <c r="B54" s="269" t="s">
        <v>234</v>
      </c>
      <c r="C54" s="270">
        <v>9</v>
      </c>
      <c r="D54" s="271" t="s">
        <v>15</v>
      </c>
      <c r="E54" s="270" t="s">
        <v>16</v>
      </c>
      <c r="F54" s="9" t="s">
        <v>502</v>
      </c>
    </row>
    <row r="55" spans="2:6" x14ac:dyDescent="0.2">
      <c r="B55" s="269" t="s">
        <v>235</v>
      </c>
      <c r="C55" s="270">
        <v>9</v>
      </c>
      <c r="D55" s="271" t="s">
        <v>20</v>
      </c>
      <c r="E55" s="270" t="s">
        <v>16</v>
      </c>
      <c r="F55" s="9" t="s">
        <v>502</v>
      </c>
    </row>
    <row r="56" spans="2:6" x14ac:dyDescent="0.2">
      <c r="B56" s="269" t="s">
        <v>236</v>
      </c>
      <c r="C56" s="270">
        <v>9</v>
      </c>
      <c r="D56" s="271" t="s">
        <v>464</v>
      </c>
      <c r="E56" s="270" t="s">
        <v>16</v>
      </c>
      <c r="F56" s="9" t="s">
        <v>502</v>
      </c>
    </row>
    <row r="57" spans="2:6" x14ac:dyDescent="0.2">
      <c r="B57" s="269" t="s">
        <v>237</v>
      </c>
      <c r="C57" s="270">
        <v>9</v>
      </c>
      <c r="D57" s="271" t="s">
        <v>466</v>
      </c>
      <c r="E57" s="270" t="s">
        <v>16</v>
      </c>
      <c r="F57" s="9" t="s">
        <v>502</v>
      </c>
    </row>
    <row r="58" spans="2:6" x14ac:dyDescent="0.2">
      <c r="B58" s="269">
        <v>916</v>
      </c>
      <c r="C58" s="270">
        <v>9</v>
      </c>
      <c r="D58" s="271" t="s">
        <v>468</v>
      </c>
      <c r="E58" s="270" t="s">
        <v>16</v>
      </c>
      <c r="F58" s="9" t="s">
        <v>502</v>
      </c>
    </row>
    <row r="59" spans="2:6" x14ac:dyDescent="0.2">
      <c r="B59" s="269" t="s">
        <v>238</v>
      </c>
      <c r="C59" s="292">
        <v>9</v>
      </c>
      <c r="D59" s="292">
        <v>18</v>
      </c>
      <c r="E59" s="292" t="s">
        <v>16</v>
      </c>
      <c r="F59" s="9" t="s">
        <v>502</v>
      </c>
    </row>
    <row r="60" spans="2:6" x14ac:dyDescent="0.2">
      <c r="B60" s="269" t="s">
        <v>239</v>
      </c>
      <c r="C60" s="292">
        <v>9</v>
      </c>
      <c r="D60" s="292">
        <v>20</v>
      </c>
      <c r="E60" s="292" t="s">
        <v>16</v>
      </c>
      <c r="F60" s="9" t="s">
        <v>502</v>
      </c>
    </row>
    <row r="61" spans="2:6" x14ac:dyDescent="0.2">
      <c r="B61" s="269" t="s">
        <v>240</v>
      </c>
      <c r="C61" s="292">
        <v>9</v>
      </c>
      <c r="D61" s="292">
        <v>22</v>
      </c>
      <c r="E61" s="292" t="s">
        <v>16</v>
      </c>
      <c r="F61" s="9" t="s">
        <v>502</v>
      </c>
    </row>
    <row r="62" spans="2:6" x14ac:dyDescent="0.2">
      <c r="B62" s="269" t="s">
        <v>241</v>
      </c>
      <c r="C62" s="270">
        <v>10</v>
      </c>
      <c r="D62" s="271" t="s">
        <v>15</v>
      </c>
      <c r="E62" s="270" t="s">
        <v>16</v>
      </c>
      <c r="F62" s="9" t="s">
        <v>502</v>
      </c>
    </row>
    <row r="63" spans="2:6" x14ac:dyDescent="0.2">
      <c r="B63" s="269" t="s">
        <v>242</v>
      </c>
      <c r="C63" s="270">
        <v>10</v>
      </c>
      <c r="D63" s="271" t="s">
        <v>18</v>
      </c>
      <c r="E63" s="270" t="s">
        <v>16</v>
      </c>
      <c r="F63" s="9" t="s">
        <v>502</v>
      </c>
    </row>
    <row r="64" spans="2:6" x14ac:dyDescent="0.2">
      <c r="B64" s="269" t="s">
        <v>243</v>
      </c>
      <c r="C64" s="270">
        <v>10</v>
      </c>
      <c r="D64" s="271" t="s">
        <v>20</v>
      </c>
      <c r="E64" s="270" t="s">
        <v>16</v>
      </c>
      <c r="F64" s="9" t="s">
        <v>502</v>
      </c>
    </row>
    <row r="65" spans="2:6" x14ac:dyDescent="0.2">
      <c r="B65" s="269" t="s">
        <v>244</v>
      </c>
      <c r="C65" s="270">
        <v>10</v>
      </c>
      <c r="D65" s="271" t="s">
        <v>464</v>
      </c>
      <c r="E65" s="270" t="s">
        <v>16</v>
      </c>
      <c r="F65" s="9" t="s">
        <v>502</v>
      </c>
    </row>
    <row r="66" spans="2:6" x14ac:dyDescent="0.2">
      <c r="B66" s="269" t="s">
        <v>245</v>
      </c>
      <c r="C66" s="270">
        <v>10</v>
      </c>
      <c r="D66" s="271" t="s">
        <v>466</v>
      </c>
      <c r="E66" s="270" t="s">
        <v>16</v>
      </c>
      <c r="F66" s="9" t="s">
        <v>502</v>
      </c>
    </row>
    <row r="67" spans="2:6" x14ac:dyDescent="0.2">
      <c r="B67" s="269" t="s">
        <v>246</v>
      </c>
      <c r="C67" s="270">
        <v>10</v>
      </c>
      <c r="D67" s="271" t="s">
        <v>468</v>
      </c>
      <c r="E67" s="270" t="s">
        <v>16</v>
      </c>
      <c r="F67" s="9" t="s">
        <v>502</v>
      </c>
    </row>
    <row r="68" spans="2:6" x14ac:dyDescent="0.2">
      <c r="B68" s="269" t="s">
        <v>247</v>
      </c>
      <c r="C68" s="292">
        <v>10</v>
      </c>
      <c r="D68" s="292" t="s">
        <v>470</v>
      </c>
      <c r="E68" s="292" t="s">
        <v>16</v>
      </c>
      <c r="F68" s="9" t="s">
        <v>502</v>
      </c>
    </row>
    <row r="69" spans="2:6" x14ac:dyDescent="0.2">
      <c r="B69" s="269" t="s">
        <v>248</v>
      </c>
      <c r="C69" s="292">
        <v>10</v>
      </c>
      <c r="D69" s="292">
        <v>20</v>
      </c>
      <c r="E69" s="292" t="s">
        <v>16</v>
      </c>
      <c r="F69" s="9" t="s">
        <v>502</v>
      </c>
    </row>
    <row r="70" spans="2:6" x14ac:dyDescent="0.2">
      <c r="B70" s="269" t="s">
        <v>249</v>
      </c>
      <c r="C70" s="292">
        <v>10</v>
      </c>
      <c r="D70" s="292">
        <v>22</v>
      </c>
      <c r="E70" s="292" t="s">
        <v>16</v>
      </c>
      <c r="F70" s="9" t="s">
        <v>502</v>
      </c>
    </row>
    <row r="71" spans="2:6" x14ac:dyDescent="0.2">
      <c r="B71" s="269" t="s">
        <v>250</v>
      </c>
      <c r="C71" s="270">
        <v>11</v>
      </c>
      <c r="D71" s="271" t="s">
        <v>15</v>
      </c>
      <c r="E71" s="270" t="s">
        <v>16</v>
      </c>
      <c r="F71" s="9" t="s">
        <v>502</v>
      </c>
    </row>
    <row r="72" spans="2:6" x14ac:dyDescent="0.2">
      <c r="B72" s="269" t="s">
        <v>251</v>
      </c>
      <c r="C72" s="270">
        <v>11</v>
      </c>
      <c r="D72" s="271" t="s">
        <v>18</v>
      </c>
      <c r="E72" s="270" t="s">
        <v>16</v>
      </c>
      <c r="F72" s="9" t="s">
        <v>502</v>
      </c>
    </row>
    <row r="73" spans="2:6" x14ac:dyDescent="0.2">
      <c r="B73" s="269" t="s">
        <v>252</v>
      </c>
      <c r="C73" s="270">
        <v>11</v>
      </c>
      <c r="D73" s="271" t="s">
        <v>20</v>
      </c>
      <c r="E73" s="270" t="s">
        <v>16</v>
      </c>
      <c r="F73" s="9" t="s">
        <v>502</v>
      </c>
    </row>
    <row r="74" spans="2:6" x14ac:dyDescent="0.2">
      <c r="B74" s="269" t="s">
        <v>253</v>
      </c>
      <c r="C74" s="270">
        <v>11</v>
      </c>
      <c r="D74" s="271" t="s">
        <v>464</v>
      </c>
      <c r="E74" s="270" t="s">
        <v>16</v>
      </c>
      <c r="F74" s="9" t="s">
        <v>502</v>
      </c>
    </row>
    <row r="75" spans="2:6" x14ac:dyDescent="0.2">
      <c r="B75" s="269" t="s">
        <v>254</v>
      </c>
      <c r="C75" s="270">
        <v>11</v>
      </c>
      <c r="D75" s="271" t="s">
        <v>466</v>
      </c>
      <c r="E75" s="270" t="s">
        <v>16</v>
      </c>
      <c r="F75" s="9" t="s">
        <v>502</v>
      </c>
    </row>
    <row r="76" spans="2:6" x14ac:dyDescent="0.2">
      <c r="B76" s="269" t="s">
        <v>255</v>
      </c>
      <c r="C76" s="270">
        <v>11</v>
      </c>
      <c r="D76" s="271" t="s">
        <v>468</v>
      </c>
      <c r="E76" s="270" t="s">
        <v>16</v>
      </c>
      <c r="F76" s="9" t="s">
        <v>502</v>
      </c>
    </row>
    <row r="77" spans="2:6" x14ac:dyDescent="0.2">
      <c r="B77" s="269" t="s">
        <v>474</v>
      </c>
      <c r="C77" s="270">
        <v>12</v>
      </c>
      <c r="D77" s="271" t="s">
        <v>15</v>
      </c>
      <c r="E77" s="270" t="s">
        <v>16</v>
      </c>
      <c r="F77" s="9" t="s">
        <v>502</v>
      </c>
    </row>
    <row r="78" spans="2:6" x14ac:dyDescent="0.2">
      <c r="B78" s="269" t="s">
        <v>256</v>
      </c>
      <c r="C78" s="270">
        <v>12</v>
      </c>
      <c r="D78" s="271" t="s">
        <v>18</v>
      </c>
      <c r="E78" s="270" t="s">
        <v>16</v>
      </c>
      <c r="F78" s="9" t="s">
        <v>502</v>
      </c>
    </row>
    <row r="79" spans="2:6" x14ac:dyDescent="0.2">
      <c r="B79" s="269" t="s">
        <v>257</v>
      </c>
      <c r="C79" s="270">
        <v>12</v>
      </c>
      <c r="D79" s="271" t="s">
        <v>464</v>
      </c>
      <c r="E79" s="270" t="s">
        <v>16</v>
      </c>
      <c r="F79" s="9" t="s">
        <v>502</v>
      </c>
    </row>
    <row r="80" spans="2:6" x14ac:dyDescent="0.2">
      <c r="B80" s="269" t="s">
        <v>258</v>
      </c>
      <c r="C80" s="270">
        <v>12</v>
      </c>
      <c r="D80" s="271" t="s">
        <v>466</v>
      </c>
      <c r="E80" s="270" t="s">
        <v>16</v>
      </c>
      <c r="F80" s="9" t="s">
        <v>502</v>
      </c>
    </row>
    <row r="81" spans="2:6" x14ac:dyDescent="0.2">
      <c r="B81" s="269" t="s">
        <v>259</v>
      </c>
      <c r="C81" s="270">
        <v>12</v>
      </c>
      <c r="D81" s="271" t="s">
        <v>468</v>
      </c>
      <c r="E81" s="270" t="s">
        <v>16</v>
      </c>
      <c r="F81" s="9" t="s">
        <v>502</v>
      </c>
    </row>
    <row r="82" spans="2:6" x14ac:dyDescent="0.2">
      <c r="B82" s="269" t="s">
        <v>475</v>
      </c>
      <c r="C82" s="270">
        <v>15</v>
      </c>
      <c r="D82" s="271" t="s">
        <v>15</v>
      </c>
      <c r="E82" s="270" t="s">
        <v>16</v>
      </c>
      <c r="F82" s="9" t="s">
        <v>502</v>
      </c>
    </row>
    <row r="83" spans="2:6" x14ac:dyDescent="0.2">
      <c r="B83" s="269" t="s">
        <v>476</v>
      </c>
      <c r="C83" s="270">
        <v>15</v>
      </c>
      <c r="D83" s="271" t="s">
        <v>18</v>
      </c>
      <c r="E83" s="270" t="s">
        <v>16</v>
      </c>
      <c r="F83" s="9" t="s">
        <v>502</v>
      </c>
    </row>
    <row r="84" spans="2:6" x14ac:dyDescent="0.2">
      <c r="B84" s="269" t="s">
        <v>142</v>
      </c>
      <c r="C84" s="270" t="s">
        <v>430</v>
      </c>
      <c r="D84" s="271" t="s">
        <v>20</v>
      </c>
      <c r="E84" s="270" t="s">
        <v>21</v>
      </c>
      <c r="F84" s="9" t="s">
        <v>502</v>
      </c>
    </row>
    <row r="85" spans="2:6" x14ac:dyDescent="0.2">
      <c r="B85" s="269" t="s">
        <v>143</v>
      </c>
      <c r="C85" s="270" t="s">
        <v>430</v>
      </c>
      <c r="D85" s="271" t="s">
        <v>22</v>
      </c>
      <c r="E85" s="270" t="s">
        <v>21</v>
      </c>
      <c r="F85" s="9" t="s">
        <v>502</v>
      </c>
    </row>
    <row r="86" spans="2:6" x14ac:dyDescent="0.2">
      <c r="B86" s="269" t="s">
        <v>477</v>
      </c>
      <c r="C86" s="270" t="s">
        <v>430</v>
      </c>
      <c r="D86" s="271" t="s">
        <v>464</v>
      </c>
      <c r="E86" s="270" t="s">
        <v>21</v>
      </c>
      <c r="F86" s="9" t="s">
        <v>502</v>
      </c>
    </row>
    <row r="87" spans="2:6" x14ac:dyDescent="0.2">
      <c r="B87" s="269" t="s">
        <v>144</v>
      </c>
      <c r="C87" s="270" t="s">
        <v>430</v>
      </c>
      <c r="D87" s="271" t="s">
        <v>465</v>
      </c>
      <c r="E87" s="270" t="s">
        <v>21</v>
      </c>
      <c r="F87" s="9" t="s">
        <v>502</v>
      </c>
    </row>
    <row r="88" spans="2:6" x14ac:dyDescent="0.2">
      <c r="B88" s="269" t="s">
        <v>152</v>
      </c>
      <c r="C88" s="270">
        <v>2</v>
      </c>
      <c r="D88" s="271" t="s">
        <v>22</v>
      </c>
      <c r="E88" s="270" t="s">
        <v>21</v>
      </c>
      <c r="F88" s="9" t="s">
        <v>502</v>
      </c>
    </row>
    <row r="89" spans="2:6" x14ac:dyDescent="0.2">
      <c r="B89" s="269" t="s">
        <v>154</v>
      </c>
      <c r="C89" s="270">
        <v>2</v>
      </c>
      <c r="D89" s="271" t="s">
        <v>465</v>
      </c>
      <c r="E89" s="270" t="s">
        <v>21</v>
      </c>
      <c r="F89" s="9" t="s">
        <v>502</v>
      </c>
    </row>
    <row r="90" spans="2:6" x14ac:dyDescent="0.2">
      <c r="B90" s="269" t="s">
        <v>156</v>
      </c>
      <c r="C90" s="270">
        <v>2</v>
      </c>
      <c r="D90" s="271" t="s">
        <v>467</v>
      </c>
      <c r="E90" s="270" t="s">
        <v>21</v>
      </c>
      <c r="F90" s="9" t="s">
        <v>502</v>
      </c>
    </row>
    <row r="91" spans="2:6" x14ac:dyDescent="0.2">
      <c r="B91" s="269" t="s">
        <v>158</v>
      </c>
      <c r="C91" s="270">
        <v>2</v>
      </c>
      <c r="D91" s="271" t="s">
        <v>469</v>
      </c>
      <c r="E91" s="270" t="s">
        <v>21</v>
      </c>
      <c r="F91" s="9" t="s">
        <v>502</v>
      </c>
    </row>
    <row r="92" spans="2:6" x14ac:dyDescent="0.2">
      <c r="B92" s="269" t="s">
        <v>160</v>
      </c>
      <c r="C92" s="270">
        <v>2</v>
      </c>
      <c r="D92" s="271">
        <v>19</v>
      </c>
      <c r="E92" s="270" t="s">
        <v>21</v>
      </c>
      <c r="F92" s="9" t="s">
        <v>502</v>
      </c>
    </row>
    <row r="93" spans="2:6" x14ac:dyDescent="0.2">
      <c r="B93" s="269" t="s">
        <v>162</v>
      </c>
      <c r="C93" s="270">
        <v>2</v>
      </c>
      <c r="D93" s="271">
        <v>21</v>
      </c>
      <c r="E93" s="270" t="s">
        <v>21</v>
      </c>
      <c r="F93" s="9" t="s">
        <v>502</v>
      </c>
    </row>
    <row r="94" spans="2:6" x14ac:dyDescent="0.2">
      <c r="B94" s="269" t="s">
        <v>164</v>
      </c>
      <c r="C94" s="270">
        <v>2</v>
      </c>
      <c r="D94" s="271">
        <v>23</v>
      </c>
      <c r="E94" s="270" t="s">
        <v>21</v>
      </c>
      <c r="F94" s="9" t="s">
        <v>502</v>
      </c>
    </row>
    <row r="95" spans="2:6" x14ac:dyDescent="0.2">
      <c r="B95" s="269" t="s">
        <v>165</v>
      </c>
      <c r="C95" s="270">
        <v>2</v>
      </c>
      <c r="D95" s="271">
        <v>25</v>
      </c>
      <c r="E95" s="270" t="s">
        <v>21</v>
      </c>
      <c r="F95" s="9" t="s">
        <v>502</v>
      </c>
    </row>
    <row r="96" spans="2:6" x14ac:dyDescent="0.2">
      <c r="B96" s="269" t="s">
        <v>174</v>
      </c>
      <c r="C96" s="270">
        <v>3</v>
      </c>
      <c r="D96" s="271" t="s">
        <v>22</v>
      </c>
      <c r="E96" s="270" t="s">
        <v>21</v>
      </c>
      <c r="F96" s="9" t="s">
        <v>502</v>
      </c>
    </row>
    <row r="97" spans="2:6" x14ac:dyDescent="0.2">
      <c r="B97" s="269" t="s">
        <v>176</v>
      </c>
      <c r="C97" s="270">
        <v>3</v>
      </c>
      <c r="D97" s="271" t="s">
        <v>465</v>
      </c>
      <c r="E97" s="270" t="s">
        <v>21</v>
      </c>
      <c r="F97" s="9" t="s">
        <v>502</v>
      </c>
    </row>
    <row r="98" spans="2:6" x14ac:dyDescent="0.2">
      <c r="B98" s="269" t="s">
        <v>178</v>
      </c>
      <c r="C98" s="270">
        <v>3</v>
      </c>
      <c r="D98" s="271" t="s">
        <v>467</v>
      </c>
      <c r="E98" s="270" t="s">
        <v>21</v>
      </c>
      <c r="F98" s="9" t="s">
        <v>502</v>
      </c>
    </row>
    <row r="99" spans="2:6" x14ac:dyDescent="0.2">
      <c r="B99" s="269" t="s">
        <v>180</v>
      </c>
      <c r="C99" s="270">
        <v>3</v>
      </c>
      <c r="D99" s="271" t="s">
        <v>469</v>
      </c>
      <c r="E99" s="270" t="s">
        <v>21</v>
      </c>
      <c r="F99" s="9" t="s">
        <v>502</v>
      </c>
    </row>
    <row r="100" spans="2:6" x14ac:dyDescent="0.2">
      <c r="B100" s="269" t="s">
        <v>182</v>
      </c>
      <c r="C100" s="270">
        <v>3</v>
      </c>
      <c r="D100" s="271">
        <v>19</v>
      </c>
      <c r="E100" s="270" t="s">
        <v>21</v>
      </c>
      <c r="F100" s="9" t="s">
        <v>502</v>
      </c>
    </row>
    <row r="101" spans="2:6" x14ac:dyDescent="0.2">
      <c r="B101" s="269" t="s">
        <v>184</v>
      </c>
      <c r="C101" s="270">
        <v>3</v>
      </c>
      <c r="D101" s="271">
        <v>21</v>
      </c>
      <c r="E101" s="270" t="s">
        <v>21</v>
      </c>
      <c r="F101" s="9" t="s">
        <v>502</v>
      </c>
    </row>
    <row r="102" spans="2:6" x14ac:dyDescent="0.2">
      <c r="B102" s="269" t="s">
        <v>186</v>
      </c>
      <c r="C102" s="270">
        <v>3</v>
      </c>
      <c r="D102" s="271">
        <v>23</v>
      </c>
      <c r="E102" s="270" t="s">
        <v>21</v>
      </c>
      <c r="F102" s="9" t="s">
        <v>502</v>
      </c>
    </row>
    <row r="103" spans="2:6" x14ac:dyDescent="0.2">
      <c r="B103" s="269" t="s">
        <v>187</v>
      </c>
      <c r="C103" s="292">
        <v>3</v>
      </c>
      <c r="D103" s="292">
        <v>25</v>
      </c>
      <c r="E103" s="292" t="s">
        <v>21</v>
      </c>
      <c r="F103" s="9" t="s">
        <v>502</v>
      </c>
    </row>
    <row r="104" spans="2:6" x14ac:dyDescent="0.2">
      <c r="B104" s="269" t="s">
        <v>195</v>
      </c>
      <c r="C104" s="270">
        <v>5</v>
      </c>
      <c r="D104" s="271" t="s">
        <v>22</v>
      </c>
      <c r="E104" s="270" t="s">
        <v>21</v>
      </c>
      <c r="F104" s="9" t="s">
        <v>502</v>
      </c>
    </row>
    <row r="105" spans="2:6" x14ac:dyDescent="0.2">
      <c r="B105" s="269" t="s">
        <v>198</v>
      </c>
      <c r="C105" s="270">
        <v>5</v>
      </c>
      <c r="D105" s="271" t="s">
        <v>467</v>
      </c>
      <c r="E105" s="270" t="s">
        <v>21</v>
      </c>
      <c r="F105" s="9" t="s">
        <v>502</v>
      </c>
    </row>
    <row r="106" spans="2:6" x14ac:dyDescent="0.2">
      <c r="B106" s="269" t="s">
        <v>200</v>
      </c>
      <c r="C106" s="270">
        <v>5</v>
      </c>
      <c r="D106" s="271" t="s">
        <v>469</v>
      </c>
      <c r="E106" s="270" t="s">
        <v>21</v>
      </c>
      <c r="F106" s="9" t="s">
        <v>502</v>
      </c>
    </row>
    <row r="107" spans="2:6" x14ac:dyDescent="0.2">
      <c r="B107" s="269" t="s">
        <v>202</v>
      </c>
      <c r="C107" s="292">
        <v>5</v>
      </c>
      <c r="D107" s="292">
        <v>19</v>
      </c>
      <c r="E107" s="292" t="s">
        <v>21</v>
      </c>
      <c r="F107" s="9" t="s">
        <v>502</v>
      </c>
    </row>
    <row r="108" spans="2:6" x14ac:dyDescent="0.2">
      <c r="B108" s="269" t="s">
        <v>204</v>
      </c>
      <c r="C108" s="292">
        <v>5</v>
      </c>
      <c r="D108" s="292">
        <v>21</v>
      </c>
      <c r="E108" s="292" t="s">
        <v>21</v>
      </c>
      <c r="F108" s="9" t="s">
        <v>502</v>
      </c>
    </row>
    <row r="109" spans="2:6" x14ac:dyDescent="0.2">
      <c r="B109" s="269" t="s">
        <v>206</v>
      </c>
      <c r="C109" s="292">
        <v>5</v>
      </c>
      <c r="D109" s="292">
        <v>23</v>
      </c>
      <c r="E109" s="292" t="s">
        <v>21</v>
      </c>
      <c r="F109" s="9" t="s">
        <v>502</v>
      </c>
    </row>
    <row r="110" spans="2:6" x14ac:dyDescent="0.2">
      <c r="B110" s="269" t="s">
        <v>207</v>
      </c>
      <c r="C110" s="292">
        <v>5</v>
      </c>
      <c r="D110" s="292">
        <v>25</v>
      </c>
      <c r="E110" s="292" t="s">
        <v>21</v>
      </c>
      <c r="F110" s="9" t="s">
        <v>502</v>
      </c>
    </row>
    <row r="111" spans="2:6" x14ac:dyDescent="0.2">
      <c r="B111" s="269" t="s">
        <v>136</v>
      </c>
      <c r="C111" s="270" t="s">
        <v>430</v>
      </c>
      <c r="D111" s="271" t="s">
        <v>12</v>
      </c>
      <c r="E111" s="270" t="s">
        <v>13</v>
      </c>
      <c r="F111" s="9" t="s">
        <v>502</v>
      </c>
    </row>
    <row r="112" spans="2:6" x14ac:dyDescent="0.2">
      <c r="B112" s="269" t="s">
        <v>137</v>
      </c>
      <c r="C112" s="270" t="s">
        <v>430</v>
      </c>
      <c r="D112" s="271" t="s">
        <v>14</v>
      </c>
      <c r="E112" s="270" t="s">
        <v>13</v>
      </c>
      <c r="F112" s="9" t="s">
        <v>502</v>
      </c>
    </row>
    <row r="113" spans="2:6" x14ac:dyDescent="0.2">
      <c r="B113" s="269" t="s">
        <v>139</v>
      </c>
      <c r="C113" s="270" t="s">
        <v>430</v>
      </c>
      <c r="D113" s="271" t="s">
        <v>17</v>
      </c>
      <c r="E113" s="270" t="s">
        <v>13</v>
      </c>
      <c r="F113" s="9" t="s">
        <v>502</v>
      </c>
    </row>
    <row r="114" spans="2:6" x14ac:dyDescent="0.2">
      <c r="B114" s="269" t="s">
        <v>141</v>
      </c>
      <c r="C114" s="270" t="s">
        <v>430</v>
      </c>
      <c r="D114" s="271" t="s">
        <v>19</v>
      </c>
      <c r="E114" s="270" t="s">
        <v>13</v>
      </c>
      <c r="F114" s="9" t="s">
        <v>502</v>
      </c>
    </row>
    <row r="115" spans="2:6" x14ac:dyDescent="0.2">
      <c r="B115" s="269" t="s">
        <v>145</v>
      </c>
      <c r="C115" s="270" t="s">
        <v>430</v>
      </c>
      <c r="D115" s="271" t="s">
        <v>466</v>
      </c>
      <c r="E115" s="270" t="s">
        <v>13</v>
      </c>
      <c r="F115" s="9" t="s">
        <v>502</v>
      </c>
    </row>
    <row r="116" spans="2:6" x14ac:dyDescent="0.2">
      <c r="B116" s="269" t="s">
        <v>473</v>
      </c>
      <c r="C116" s="270">
        <v>2</v>
      </c>
      <c r="D116" s="271" t="s">
        <v>12</v>
      </c>
      <c r="E116" s="270" t="s">
        <v>13</v>
      </c>
      <c r="F116" s="9" t="s">
        <v>502</v>
      </c>
    </row>
    <row r="117" spans="2:6" x14ac:dyDescent="0.2">
      <c r="B117" s="269" t="s">
        <v>146</v>
      </c>
      <c r="C117" s="270">
        <v>2</v>
      </c>
      <c r="D117" s="271" t="s">
        <v>14</v>
      </c>
      <c r="E117" s="270" t="s">
        <v>13</v>
      </c>
      <c r="F117" s="9" t="s">
        <v>502</v>
      </c>
    </row>
    <row r="118" spans="2:6" x14ac:dyDescent="0.2">
      <c r="B118" s="269" t="s">
        <v>148</v>
      </c>
      <c r="C118" s="270">
        <v>2</v>
      </c>
      <c r="D118" s="271" t="s">
        <v>17</v>
      </c>
      <c r="E118" s="270" t="s">
        <v>13</v>
      </c>
      <c r="F118" s="9" t="s">
        <v>502</v>
      </c>
    </row>
    <row r="119" spans="2:6" x14ac:dyDescent="0.2">
      <c r="B119" s="269" t="s">
        <v>150</v>
      </c>
      <c r="C119" s="270">
        <v>2</v>
      </c>
      <c r="D119" s="271" t="s">
        <v>19</v>
      </c>
      <c r="E119" s="270" t="s">
        <v>13</v>
      </c>
      <c r="F119" s="9" t="s">
        <v>502</v>
      </c>
    </row>
    <row r="120" spans="2:6" x14ac:dyDescent="0.2">
      <c r="B120" s="269" t="s">
        <v>166</v>
      </c>
      <c r="C120" s="270">
        <v>2</v>
      </c>
      <c r="D120" s="271">
        <v>26</v>
      </c>
      <c r="E120" s="270" t="s">
        <v>13</v>
      </c>
      <c r="F120" s="9" t="s">
        <v>502</v>
      </c>
    </row>
    <row r="121" spans="2:6" x14ac:dyDescent="0.2">
      <c r="B121" s="269" t="s">
        <v>167</v>
      </c>
      <c r="C121" s="270">
        <v>3</v>
      </c>
      <c r="D121" s="271" t="s">
        <v>12</v>
      </c>
      <c r="E121" s="270" t="s">
        <v>13</v>
      </c>
      <c r="F121" s="9" t="s">
        <v>502</v>
      </c>
    </row>
    <row r="122" spans="2:6" x14ac:dyDescent="0.2">
      <c r="B122" s="269" t="s">
        <v>168</v>
      </c>
      <c r="C122" s="270">
        <v>3</v>
      </c>
      <c r="D122" s="271" t="s">
        <v>14</v>
      </c>
      <c r="E122" s="270" t="s">
        <v>13</v>
      </c>
      <c r="F122" s="9" t="s">
        <v>502</v>
      </c>
    </row>
    <row r="123" spans="2:6" x14ac:dyDescent="0.2">
      <c r="B123" s="269" t="s">
        <v>170</v>
      </c>
      <c r="C123" s="270">
        <v>3</v>
      </c>
      <c r="D123" s="271" t="s">
        <v>17</v>
      </c>
      <c r="E123" s="270" t="s">
        <v>13</v>
      </c>
      <c r="F123" s="9" t="s">
        <v>502</v>
      </c>
    </row>
    <row r="124" spans="2:6" x14ac:dyDescent="0.2">
      <c r="B124" s="269" t="s">
        <v>172</v>
      </c>
      <c r="C124" s="270">
        <v>3</v>
      </c>
      <c r="D124" s="271" t="s">
        <v>19</v>
      </c>
      <c r="E124" s="270" t="s">
        <v>13</v>
      </c>
      <c r="F124" s="9" t="s">
        <v>502</v>
      </c>
    </row>
    <row r="125" spans="2:6" x14ac:dyDescent="0.2">
      <c r="B125" s="269" t="s">
        <v>188</v>
      </c>
      <c r="C125" s="292">
        <v>3</v>
      </c>
      <c r="D125" s="292">
        <v>26</v>
      </c>
      <c r="E125" s="292" t="s">
        <v>13</v>
      </c>
      <c r="F125" s="9" t="s">
        <v>502</v>
      </c>
    </row>
    <row r="126" spans="2:6" x14ac:dyDescent="0.2">
      <c r="B126" s="269" t="s">
        <v>189</v>
      </c>
      <c r="C126" s="270">
        <v>5</v>
      </c>
      <c r="D126" s="271" t="s">
        <v>14</v>
      </c>
      <c r="E126" s="270" t="s">
        <v>13</v>
      </c>
      <c r="F126" s="9" t="s">
        <v>502</v>
      </c>
    </row>
    <row r="127" spans="2:6" x14ac:dyDescent="0.2">
      <c r="B127" s="269" t="s">
        <v>191</v>
      </c>
      <c r="C127" s="270">
        <v>5</v>
      </c>
      <c r="D127" s="271" t="s">
        <v>17</v>
      </c>
      <c r="E127" s="270" t="s">
        <v>13</v>
      </c>
      <c r="F127" s="9" t="s">
        <v>502</v>
      </c>
    </row>
    <row r="128" spans="2:6" x14ac:dyDescent="0.2">
      <c r="B128" s="269" t="s">
        <v>193</v>
      </c>
      <c r="C128" s="270">
        <v>5</v>
      </c>
      <c r="D128" s="271" t="s">
        <v>19</v>
      </c>
      <c r="E128" s="270" t="s">
        <v>13</v>
      </c>
      <c r="F128" s="9" t="s">
        <v>502</v>
      </c>
    </row>
    <row r="129" spans="2:6" x14ac:dyDescent="0.2">
      <c r="B129" s="269" t="s">
        <v>208</v>
      </c>
      <c r="C129" s="292">
        <v>5</v>
      </c>
      <c r="D129" s="292">
        <v>26</v>
      </c>
      <c r="E129" s="292" t="s">
        <v>13</v>
      </c>
      <c r="F129" s="9" t="s">
        <v>502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2060"/>
  </sheetPr>
  <dimension ref="A1:X121"/>
  <sheetViews>
    <sheetView showGridLines="0" zoomScale="80" zoomScaleNormal="80" zoomScaleSheetLayoutView="70" workbookViewId="0">
      <selection activeCell="K1" sqref="K1:IV65536"/>
    </sheetView>
  </sheetViews>
  <sheetFormatPr baseColWidth="10" defaultColWidth="0" defaultRowHeight="15" zeroHeight="1" x14ac:dyDescent="0.2"/>
  <cols>
    <col min="1" max="1" width="21.83203125" style="566" bestFit="1" customWidth="1"/>
    <col min="2" max="2" width="10.33203125" style="566" bestFit="1" customWidth="1"/>
    <col min="3" max="3" width="17.1640625" style="566" customWidth="1"/>
    <col min="4" max="4" width="16.83203125" style="566" customWidth="1"/>
    <col min="5" max="5" width="14" style="566" customWidth="1"/>
    <col min="6" max="6" width="20" style="566" bestFit="1" customWidth="1"/>
    <col min="7" max="7" width="19.5" style="566" hidden="1" customWidth="1"/>
    <col min="8" max="8" width="18.1640625" style="566" hidden="1" customWidth="1"/>
    <col min="9" max="9" width="56" style="566" bestFit="1" customWidth="1"/>
    <col min="10" max="10" width="6.33203125" style="160" customWidth="1"/>
    <col min="11" max="11" width="7.33203125" style="160" hidden="1" customWidth="1"/>
    <col min="12" max="12" width="10.5" style="160" hidden="1" customWidth="1"/>
    <col min="13" max="13" width="13.1640625" style="160" hidden="1" customWidth="1"/>
    <col min="14" max="14" width="6.33203125" style="160" hidden="1" customWidth="1"/>
    <col min="15" max="15" width="7.5" style="160" hidden="1" customWidth="1"/>
    <col min="16" max="16" width="16.5" style="160" hidden="1" customWidth="1"/>
    <col min="17" max="20" width="6.33203125" style="160" hidden="1" customWidth="1"/>
    <col min="21" max="21" width="4" style="160" hidden="1" customWidth="1"/>
    <col min="22" max="22" width="5" style="160" hidden="1" customWidth="1"/>
    <col min="23" max="23" width="10.5" style="160" hidden="1" customWidth="1"/>
    <col min="24" max="24" width="9.33203125" style="160" hidden="1" customWidth="1"/>
    <col min="25" max="16384" width="9.1640625" style="160" hidden="1"/>
  </cols>
  <sheetData>
    <row r="1" spans="1:24" ht="20" customHeight="1" x14ac:dyDescent="0.2">
      <c r="A1" s="159" t="s">
        <v>2</v>
      </c>
      <c r="B1" s="679">
        <f>INPUT!D16</f>
        <v>0</v>
      </c>
      <c r="C1" s="679"/>
      <c r="D1" s="563"/>
      <c r="E1" s="563"/>
      <c r="F1" s="563"/>
      <c r="G1" s="563"/>
      <c r="H1" s="563"/>
      <c r="I1" s="563"/>
      <c r="K1" s="161" t="str">
        <f>IF(INPUT!D19="N/A","N/A",INPUT!D18)</f>
        <v>B2-L10</v>
      </c>
      <c r="L1" s="161"/>
      <c r="M1" s="162">
        <f>VLOOKUP(K1,'SOLA Pricelist'!$B$9:$P$62,13,FALSE)</f>
        <v>11984000</v>
      </c>
      <c r="N1" s="161"/>
      <c r="O1" s="163">
        <v>0</v>
      </c>
      <c r="P1" s="162"/>
    </row>
    <row r="2" spans="1:24" x14ac:dyDescent="0.2">
      <c r="A2" s="290" t="str">
        <f>INPUT!C17</f>
        <v>Type of Buyer</v>
      </c>
      <c r="B2" s="693" t="str">
        <f>INPUT!D17</f>
        <v>New Buyer</v>
      </c>
      <c r="C2" s="693"/>
      <c r="D2" s="563"/>
      <c r="E2" s="563"/>
      <c r="F2" s="563"/>
      <c r="G2" s="563"/>
      <c r="H2" s="563"/>
      <c r="I2" s="563"/>
      <c r="K2" s="161"/>
      <c r="L2" s="161"/>
      <c r="M2" s="162"/>
      <c r="N2" s="161"/>
      <c r="O2" s="163"/>
      <c r="P2" s="311"/>
      <c r="X2" s="340">
        <v>0.01</v>
      </c>
    </row>
    <row r="3" spans="1:24" x14ac:dyDescent="0.2">
      <c r="A3" s="564" t="s">
        <v>602</v>
      </c>
      <c r="B3" s="694" t="str">
        <f>INPUT!C13</f>
        <v>SOLA</v>
      </c>
      <c r="C3" s="694"/>
      <c r="D3" s="563"/>
      <c r="E3" s="563"/>
      <c r="F3" s="563"/>
      <c r="G3" s="563"/>
      <c r="H3" s="563"/>
      <c r="I3" s="563"/>
      <c r="K3" s="161" t="str">
        <f>INPUT!D22</f>
        <v>Yes</v>
      </c>
      <c r="L3" s="419" t="s">
        <v>108</v>
      </c>
      <c r="M3" s="420">
        <v>560000</v>
      </c>
      <c r="N3" s="161"/>
      <c r="O3" s="163">
        <v>0.01</v>
      </c>
      <c r="P3" s="198" t="s">
        <v>509</v>
      </c>
      <c r="U3" s="323" t="str">
        <f>INPUT!D23</f>
        <v>No</v>
      </c>
      <c r="V3" s="323" t="s">
        <v>108</v>
      </c>
      <c r="W3" s="201">
        <v>200000</v>
      </c>
      <c r="X3" s="341">
        <f>X2*$D$16</f>
        <v>101999.99999999999</v>
      </c>
    </row>
    <row r="4" spans="1:24" x14ac:dyDescent="0.2">
      <c r="A4" s="564" t="str">
        <f>INPUT!C18</f>
        <v>Block &amp; Lot No.</v>
      </c>
      <c r="B4" s="695" t="str">
        <f>INPUT!D18</f>
        <v>B2-L10</v>
      </c>
      <c r="C4" s="696"/>
      <c r="D4" s="164"/>
      <c r="E4" s="164"/>
      <c r="F4" s="164"/>
      <c r="G4" s="563"/>
      <c r="H4" s="563"/>
      <c r="I4" s="563"/>
      <c r="K4" s="161"/>
      <c r="L4" s="421" t="s">
        <v>109</v>
      </c>
      <c r="M4" s="422">
        <v>0</v>
      </c>
      <c r="N4" s="161"/>
      <c r="O4" s="163">
        <v>0.02</v>
      </c>
      <c r="U4" s="198"/>
      <c r="V4" s="323" t="s">
        <v>109</v>
      </c>
      <c r="W4" s="324">
        <v>0</v>
      </c>
      <c r="X4" s="198"/>
    </row>
    <row r="5" spans="1:24" x14ac:dyDescent="0.2">
      <c r="A5" s="564" t="str">
        <f>INPUT!C19</f>
        <v>Lot Area (sqm.)</v>
      </c>
      <c r="B5" s="697">
        <f>INPUT!D19</f>
        <v>300</v>
      </c>
      <c r="C5" s="698"/>
      <c r="D5" s="164"/>
      <c r="E5" s="164"/>
      <c r="F5" s="164"/>
      <c r="G5" s="563"/>
      <c r="H5" s="565" t="s">
        <v>412</v>
      </c>
      <c r="I5" s="565"/>
      <c r="K5" s="161"/>
      <c r="L5" s="423" t="s">
        <v>596</v>
      </c>
      <c r="M5" s="424">
        <v>300000</v>
      </c>
      <c r="N5" s="161"/>
      <c r="O5" s="163">
        <v>0.03</v>
      </c>
    </row>
    <row r="6" spans="1:24" x14ac:dyDescent="0.2">
      <c r="A6" s="564" t="str">
        <f>INPUT!C20</f>
        <v>Lot Type</v>
      </c>
      <c r="B6" s="699" t="str">
        <f>INPUT!D20</f>
        <v>Parkview</v>
      </c>
      <c r="C6" s="694"/>
      <c r="D6" s="164"/>
      <c r="E6" s="164"/>
      <c r="F6" s="164"/>
      <c r="G6" s="563"/>
      <c r="H6" s="563"/>
      <c r="I6" s="563"/>
      <c r="K6" s="161"/>
      <c r="L6" s="161"/>
      <c r="M6" s="162"/>
      <c r="N6" s="161"/>
      <c r="O6" s="163">
        <v>0.04</v>
      </c>
      <c r="P6" s="198" t="s">
        <v>518</v>
      </c>
    </row>
    <row r="7" spans="1:24" x14ac:dyDescent="0.2">
      <c r="D7" s="164"/>
      <c r="E7" s="164"/>
      <c r="F7" s="164"/>
      <c r="G7" s="563"/>
      <c r="H7" s="563"/>
      <c r="I7" s="563"/>
      <c r="K7" s="325" t="e">
        <f>VLOOKUP($K$1,'SOLA Pricelist'!$C$9:$V$62,23,FALSE)</f>
        <v>#N/A</v>
      </c>
      <c r="L7" s="325"/>
      <c r="M7" s="162"/>
      <c r="N7" s="161"/>
      <c r="O7" s="163">
        <v>0.05</v>
      </c>
      <c r="U7" s="323" t="str">
        <f>INPUT!D24</f>
        <v>No</v>
      </c>
      <c r="V7" s="323" t="s">
        <v>108</v>
      </c>
    </row>
    <row r="8" spans="1:24" x14ac:dyDescent="0.2">
      <c r="B8" s="567"/>
      <c r="D8" s="563"/>
      <c r="E8" s="563"/>
      <c r="F8" s="563"/>
      <c r="G8" s="563"/>
      <c r="H8" s="563"/>
      <c r="I8" s="563"/>
      <c r="K8" s="161"/>
      <c r="L8" s="161"/>
      <c r="M8" s="162"/>
      <c r="N8" s="161"/>
      <c r="U8" s="198"/>
      <c r="V8" s="323" t="s">
        <v>109</v>
      </c>
    </row>
    <row r="9" spans="1:24" x14ac:dyDescent="0.2">
      <c r="A9" s="187"/>
      <c r="B9" s="567"/>
      <c r="D9" s="687"/>
      <c r="E9" s="687"/>
      <c r="F9" s="425"/>
      <c r="G9" s="425" t="s">
        <v>107</v>
      </c>
      <c r="H9" s="425" t="s">
        <v>7</v>
      </c>
      <c r="I9" s="387"/>
      <c r="K9" s="161"/>
      <c r="L9" s="326">
        <v>5.0000000000000001E-3</v>
      </c>
      <c r="N9" s="161"/>
    </row>
    <row r="10" spans="1:24" x14ac:dyDescent="0.2">
      <c r="A10" s="568" t="s">
        <v>522</v>
      </c>
      <c r="B10" s="569"/>
      <c r="C10" s="568"/>
      <c r="D10" s="688">
        <f>IF(K3=L3,(M1-E20),M1)</f>
        <v>11424000</v>
      </c>
      <c r="E10" s="688"/>
      <c r="F10" s="570"/>
      <c r="H10" s="563">
        <f>D10+G10</f>
        <v>11424000</v>
      </c>
      <c r="I10" s="571"/>
      <c r="K10" s="166"/>
      <c r="L10" s="161"/>
      <c r="M10" s="162" t="s">
        <v>260</v>
      </c>
      <c r="N10" s="161"/>
    </row>
    <row r="11" spans="1:24" s="169" customFormat="1" x14ac:dyDescent="0.2">
      <c r="A11" s="238" t="str">
        <f>IF(INPUT!$D$22="Disc.","          Less: Member Disc.","")</f>
        <v/>
      </c>
      <c r="D11" s="682">
        <f>IF(K3=L3,0,(IF(K3=L4,M4,M5)))</f>
        <v>0</v>
      </c>
      <c r="E11" s="682"/>
      <c r="F11" s="570"/>
      <c r="G11" s="572"/>
      <c r="H11" s="572">
        <f>D11+G11</f>
        <v>0</v>
      </c>
      <c r="I11" s="573"/>
      <c r="K11" s="170"/>
      <c r="L11" s="171"/>
      <c r="M11" s="172"/>
      <c r="N11" s="171"/>
    </row>
    <row r="12" spans="1:24" s="169" customFormat="1" hidden="1" x14ac:dyDescent="0.2">
      <c r="A12" s="629" t="str">
        <f>IF(INPUT!$D$23="Yes"," Less: Intro Disc.","")</f>
        <v/>
      </c>
      <c r="C12" s="630" t="str">
        <f>IF(A12="","",5%)</f>
        <v/>
      </c>
      <c r="D12" s="627"/>
      <c r="E12" s="627">
        <f>IF(A12="",0,((D10-D11)*C12))</f>
        <v>0</v>
      </c>
      <c r="F12" s="628"/>
      <c r="G12" s="572"/>
      <c r="H12" s="572"/>
      <c r="I12" s="573"/>
      <c r="K12" s="170"/>
      <c r="L12" s="171"/>
      <c r="M12" s="172"/>
      <c r="N12" s="171"/>
    </row>
    <row r="13" spans="1:24" s="176" customFormat="1" x14ac:dyDescent="0.2">
      <c r="A13" s="173" t="str">
        <f>IF(INPUT!D22=INPUT!N14,"Discounted List Price","Unit List Price (VAT-IN)")</f>
        <v>Unit List Price (VAT-IN)</v>
      </c>
      <c r="B13" s="174"/>
      <c r="C13" s="175"/>
      <c r="D13" s="683">
        <f>D10-D11-E12</f>
        <v>11424000</v>
      </c>
      <c r="E13" s="683"/>
      <c r="F13" s="570"/>
      <c r="G13" s="574">
        <f>G10-G11</f>
        <v>0</v>
      </c>
      <c r="H13" s="574">
        <f>SUM(D13:G13)</f>
        <v>11424000</v>
      </c>
      <c r="I13" s="573"/>
      <c r="K13" s="177"/>
      <c r="L13" s="178"/>
      <c r="M13" s="179"/>
      <c r="N13" s="178"/>
    </row>
    <row r="14" spans="1:24" s="169" customFormat="1" x14ac:dyDescent="0.2">
      <c r="A14" s="167" t="str">
        <f>IF(INPUT!D22=INPUT!N14,"          Discounted List Price (VAT-EX)","          List Price (VAT-EX)")</f>
        <v xml:space="preserve">          List Price (VAT-EX)</v>
      </c>
      <c r="B14" s="168"/>
      <c r="D14" s="684">
        <f>D13/1.12</f>
        <v>10199999.999999998</v>
      </c>
      <c r="E14" s="684"/>
      <c r="F14" s="570"/>
      <c r="G14" s="573"/>
      <c r="H14" s="573">
        <f>SUM(D14:G14)</f>
        <v>10199999.999999998</v>
      </c>
      <c r="I14" s="573"/>
      <c r="K14" s="171"/>
      <c r="L14" s="171"/>
      <c r="M14" s="172"/>
      <c r="N14" s="171"/>
    </row>
    <row r="15" spans="1:24" s="169" customFormat="1" x14ac:dyDescent="0.2">
      <c r="A15" s="167" t="str">
        <f>IF(INPUT!D17="SM Employee Group","          Less: Employee Disc.","")</f>
        <v/>
      </c>
      <c r="B15" s="168"/>
      <c r="C15" s="575" t="str">
        <f>IF(A15="          Less: Employee Disc.",5%,"")</f>
        <v/>
      </c>
      <c r="D15" s="682">
        <f>IF(INPUT!D17="SM Employee Group",(D14*0.05),0)</f>
        <v>0</v>
      </c>
      <c r="E15" s="682"/>
      <c r="F15" s="570"/>
      <c r="G15" s="572">
        <v>0</v>
      </c>
      <c r="H15" s="572">
        <f>SUM(D15:G15)</f>
        <v>0</v>
      </c>
      <c r="I15" s="573"/>
      <c r="K15" s="161" t="str">
        <f>INPUT!D24</f>
        <v>No</v>
      </c>
      <c r="L15" s="161"/>
      <c r="M15" s="172"/>
      <c r="N15" s="171"/>
    </row>
    <row r="16" spans="1:24" s="169" customFormat="1" x14ac:dyDescent="0.2">
      <c r="A16" s="173" t="s">
        <v>432</v>
      </c>
      <c r="B16" s="174"/>
      <c r="C16" s="576"/>
      <c r="D16" s="683">
        <f>D14-D15</f>
        <v>10199999.999999998</v>
      </c>
      <c r="E16" s="683"/>
      <c r="F16" s="570"/>
      <c r="G16" s="574"/>
      <c r="H16" s="574">
        <f>SUM(D16:G16)</f>
        <v>10199999.999999998</v>
      </c>
      <c r="I16" s="573"/>
      <c r="K16" s="161"/>
      <c r="L16" s="161"/>
      <c r="M16" s="172"/>
      <c r="N16" s="171"/>
    </row>
    <row r="17" spans="1:14" s="169" customFormat="1" ht="4.5" customHeight="1" x14ac:dyDescent="0.2">
      <c r="A17" s="342"/>
      <c r="B17" s="343"/>
      <c r="C17" s="577"/>
      <c r="D17" s="570"/>
      <c r="E17" s="570"/>
      <c r="F17" s="570"/>
      <c r="G17" s="573"/>
      <c r="H17" s="573"/>
      <c r="I17" s="573"/>
      <c r="K17" s="161"/>
      <c r="L17" s="161"/>
      <c r="M17" s="172"/>
      <c r="N17" s="171"/>
    </row>
    <row r="18" spans="1:14" x14ac:dyDescent="0.2">
      <c r="A18" s="167" t="s">
        <v>427</v>
      </c>
      <c r="B18" s="168"/>
      <c r="C18" s="180">
        <v>0.12</v>
      </c>
      <c r="D18" s="684">
        <f>D16*C18</f>
        <v>1223999.9999999998</v>
      </c>
      <c r="E18" s="684"/>
      <c r="F18" s="570"/>
      <c r="G18" s="573"/>
      <c r="H18" s="573">
        <f>SUM(D18:G18)</f>
        <v>1223999.9999999998</v>
      </c>
      <c r="I18" s="573"/>
      <c r="K18" s="161"/>
      <c r="L18" s="161"/>
      <c r="M18" s="162"/>
      <c r="N18" s="161"/>
    </row>
    <row r="19" spans="1:14" s="187" customFormat="1" x14ac:dyDescent="0.2">
      <c r="A19" s="578" t="s">
        <v>428</v>
      </c>
      <c r="B19" s="567"/>
      <c r="C19" s="579">
        <v>0.05</v>
      </c>
      <c r="D19" s="684">
        <f>D16*C19</f>
        <v>509999.99999999994</v>
      </c>
      <c r="E19" s="684"/>
      <c r="F19" s="570"/>
      <c r="G19" s="573">
        <v>0</v>
      </c>
      <c r="H19" s="571">
        <f>SUM(D19:G19)</f>
        <v>509999.99999999994</v>
      </c>
      <c r="I19" s="571"/>
      <c r="K19" s="325" t="e">
        <f>VLOOKUP($K$1,'SOLA Pricelist'!$C$10:$Y$62,24,FALSE)</f>
        <v>#N/A</v>
      </c>
      <c r="L19" s="325" t="s">
        <v>530</v>
      </c>
      <c r="M19" s="189"/>
      <c r="N19" s="188"/>
    </row>
    <row r="20" spans="1:14" s="187" customFormat="1" x14ac:dyDescent="0.2">
      <c r="A20" s="578" t="s">
        <v>520</v>
      </c>
      <c r="B20" s="567"/>
      <c r="C20" s="580"/>
      <c r="D20" s="570"/>
      <c r="E20" s="581">
        <f>IF(K3=L3,M3,0)</f>
        <v>560000</v>
      </c>
      <c r="F20" s="582"/>
      <c r="G20" s="573"/>
      <c r="H20" s="571"/>
      <c r="I20" s="571"/>
      <c r="K20" s="386"/>
      <c r="L20" s="386"/>
      <c r="M20" s="189"/>
      <c r="N20" s="188"/>
    </row>
    <row r="21" spans="1:14" x14ac:dyDescent="0.2">
      <c r="A21" s="183" t="s">
        <v>101</v>
      </c>
      <c r="B21" s="184"/>
      <c r="C21" s="185"/>
      <c r="D21" s="685">
        <f>D16+D18+D19+E20</f>
        <v>12493999.999999998</v>
      </c>
      <c r="E21" s="685"/>
      <c r="F21" s="394"/>
      <c r="G21" s="186">
        <f>G16+G18+G19</f>
        <v>0</v>
      </c>
      <c r="H21" s="186">
        <f>SUM(D21:G21)</f>
        <v>12493999.999999998</v>
      </c>
      <c r="I21" s="388"/>
    </row>
    <row r="22" spans="1:14" ht="25" customHeight="1" x14ac:dyDescent="0.2"/>
    <row r="23" spans="1:14" ht="19" hidden="1" x14ac:dyDescent="0.2">
      <c r="A23" s="689" t="str">
        <f>INPUT!G66</f>
        <v>90% Spot / 10% in 24 mos.  (with 15% Discount)</v>
      </c>
      <c r="B23" s="690"/>
      <c r="C23" s="690"/>
      <c r="D23" s="690"/>
      <c r="E23" s="690"/>
      <c r="F23" s="690"/>
      <c r="G23" s="690"/>
      <c r="H23" s="690"/>
      <c r="I23" s="691"/>
      <c r="K23" s="163"/>
      <c r="L23" s="161"/>
      <c r="M23" s="162"/>
      <c r="N23" s="161"/>
    </row>
    <row r="24" spans="1:14" ht="32" hidden="1" x14ac:dyDescent="0.2">
      <c r="A24" s="692" t="s">
        <v>26</v>
      </c>
      <c r="B24" s="692"/>
      <c r="C24" s="401" t="s">
        <v>130</v>
      </c>
      <c r="D24" s="402" t="s">
        <v>120</v>
      </c>
      <c r="E24" s="402" t="s">
        <v>121</v>
      </c>
      <c r="F24" s="402" t="s">
        <v>90</v>
      </c>
      <c r="G24" s="567"/>
      <c r="H24" s="403"/>
      <c r="I24" s="402" t="s">
        <v>449</v>
      </c>
    </row>
    <row r="25" spans="1:14" hidden="1" x14ac:dyDescent="0.2">
      <c r="A25" s="673" t="s">
        <v>597</v>
      </c>
      <c r="B25" s="673"/>
      <c r="C25" s="583"/>
      <c r="D25" s="583">
        <f>'SOLA-6'!$D$14:$E$14</f>
        <v>0</v>
      </c>
      <c r="E25" s="583"/>
      <c r="F25" s="584"/>
      <c r="G25" s="567"/>
      <c r="H25" s="585"/>
      <c r="I25" s="586"/>
    </row>
    <row r="26" spans="1:14" ht="21.75" hidden="1" customHeight="1" x14ac:dyDescent="0.2">
      <c r="A26" s="673" t="s">
        <v>670</v>
      </c>
      <c r="B26" s="673"/>
      <c r="C26" s="583"/>
      <c r="D26" s="583">
        <f>'SOLA-6'!$D$15:$E$15</f>
        <v>1713600</v>
      </c>
      <c r="E26" s="583"/>
      <c r="F26" s="584"/>
      <c r="G26" s="567"/>
      <c r="H26" s="585"/>
      <c r="I26" s="586"/>
    </row>
    <row r="27" spans="1:14" hidden="1" x14ac:dyDescent="0.2">
      <c r="A27" s="677" t="s">
        <v>669</v>
      </c>
      <c r="B27" s="678"/>
      <c r="C27" s="583"/>
      <c r="D27" s="583"/>
      <c r="E27" s="583"/>
      <c r="F27" s="584"/>
      <c r="G27" s="567"/>
      <c r="H27" s="587"/>
      <c r="I27" s="586"/>
    </row>
    <row r="28" spans="1:14" hidden="1" x14ac:dyDescent="0.2">
      <c r="A28" s="677" t="s">
        <v>509</v>
      </c>
      <c r="B28" s="678">
        <f>IF(L23="NP",IF($U$3=$V$3,Q22,IF($U$3=$V$4,"")),0)</f>
        <v>0</v>
      </c>
      <c r="C28" s="583"/>
      <c r="D28" s="583">
        <f>'SOLA-6'!$D$16:$E$16</f>
        <v>0</v>
      </c>
      <c r="E28" s="583"/>
      <c r="F28" s="584"/>
      <c r="G28" s="567"/>
      <c r="H28" s="586"/>
      <c r="I28" s="586"/>
    </row>
    <row r="29" spans="1:14" hidden="1" x14ac:dyDescent="0.2">
      <c r="A29" s="677" t="s">
        <v>606</v>
      </c>
      <c r="B29" s="678">
        <f>IF(L24="NP",IF($U$3=$V$3,Q23,IF($U$3=$V$4,"")),0)</f>
        <v>0</v>
      </c>
      <c r="C29" s="583"/>
      <c r="D29" s="583">
        <f>'SOLA-6'!$D$17:$E$17</f>
        <v>0</v>
      </c>
      <c r="E29" s="583"/>
      <c r="F29" s="584"/>
      <c r="G29" s="567"/>
      <c r="H29" s="586"/>
      <c r="I29" s="586"/>
      <c r="K29" s="161" t="str">
        <f>INPUT!D25</f>
        <v>No</v>
      </c>
    </row>
    <row r="30" spans="1:14" ht="21.75" hidden="1" customHeight="1" x14ac:dyDescent="0.2">
      <c r="A30" s="677" t="s">
        <v>29</v>
      </c>
      <c r="B30" s="678">
        <f>IF(L26="NP",IF($U$3=$V$3,Q24,IF($U$3=$V$4,"")),0)</f>
        <v>0</v>
      </c>
      <c r="C30" s="583">
        <f>'SOLA-6'!$C$29</f>
        <v>100000</v>
      </c>
      <c r="D30" s="583">
        <f>'SOLA-6'!$D$29</f>
        <v>75000</v>
      </c>
      <c r="E30" s="583">
        <f>'SOLA-6'!$E$29</f>
        <v>25000</v>
      </c>
      <c r="F30" s="584"/>
      <c r="G30" s="567"/>
      <c r="H30" s="588"/>
      <c r="I30" s="564"/>
    </row>
    <row r="31" spans="1:14" ht="21.75" hidden="1" customHeight="1" x14ac:dyDescent="0.2">
      <c r="A31" s="680" t="s">
        <v>458</v>
      </c>
      <c r="B31" s="681"/>
      <c r="C31" s="583">
        <f>'SOLA-6'!$C$30</f>
        <v>9533510</v>
      </c>
      <c r="D31" s="583">
        <f>'SOLA-6'!$D$30</f>
        <v>8664360</v>
      </c>
      <c r="E31" s="583">
        <f>'SOLA-6'!$E$30</f>
        <v>479000</v>
      </c>
      <c r="F31" s="584">
        <f>'SOLA-6'!$F$30</f>
        <v>390150</v>
      </c>
      <c r="G31" s="567"/>
      <c r="H31" s="589"/>
      <c r="I31" s="590" t="s">
        <v>671</v>
      </c>
    </row>
    <row r="32" spans="1:14" ht="32" hidden="1" x14ac:dyDescent="0.2">
      <c r="A32" s="673" t="s">
        <v>481</v>
      </c>
      <c r="B32" s="673"/>
      <c r="C32" s="583">
        <f>'SOLA-6'!$C$31</f>
        <v>44599.583333333328</v>
      </c>
      <c r="D32" s="583">
        <f>'SOLA-6'!$D$31</f>
        <v>40459.999999999993</v>
      </c>
      <c r="E32" s="583">
        <f>'SOLA-6'!$E$31</f>
        <v>2333.3333333333326</v>
      </c>
      <c r="F32" s="584">
        <f>'SOLA-6'!$F$31</f>
        <v>1806.2499999999998</v>
      </c>
      <c r="G32" s="567"/>
      <c r="H32" s="585"/>
      <c r="I32" s="586" t="s">
        <v>672</v>
      </c>
    </row>
    <row r="33" spans="1:14" hidden="1" x14ac:dyDescent="0.2">
      <c r="K33" s="163"/>
      <c r="L33" s="161"/>
      <c r="M33" s="162"/>
      <c r="N33" s="161"/>
    </row>
    <row r="34" spans="1:14" ht="19" x14ac:dyDescent="0.2">
      <c r="A34" s="671" t="str">
        <f>INPUT!F17</f>
        <v>50% Spot / 50% in 60 mos.  (with 8% Discount)</v>
      </c>
      <c r="B34" s="672"/>
      <c r="C34" s="672"/>
      <c r="D34" s="672"/>
      <c r="E34" s="672"/>
      <c r="F34" s="672"/>
      <c r="G34" s="672"/>
      <c r="H34" s="672"/>
      <c r="I34" s="672"/>
    </row>
    <row r="35" spans="1:14" ht="32" x14ac:dyDescent="0.2">
      <c r="A35" s="679" t="s">
        <v>26</v>
      </c>
      <c r="B35" s="679"/>
      <c r="C35" s="190" t="s">
        <v>130</v>
      </c>
      <c r="D35" s="392" t="s">
        <v>120</v>
      </c>
      <c r="E35" s="392" t="s">
        <v>121</v>
      </c>
      <c r="F35" s="392" t="s">
        <v>90</v>
      </c>
      <c r="G35" s="567"/>
      <c r="H35" s="393"/>
      <c r="I35" s="392" t="s">
        <v>449</v>
      </c>
    </row>
    <row r="36" spans="1:14" hidden="1" x14ac:dyDescent="0.2">
      <c r="A36" s="673" t="s">
        <v>597</v>
      </c>
      <c r="B36" s="673"/>
      <c r="C36" s="583"/>
      <c r="D36" s="583">
        <f>'SOLA-1'!$D$14:$E$14</f>
        <v>0</v>
      </c>
      <c r="E36" s="583"/>
      <c r="F36" s="584"/>
      <c r="G36" s="567"/>
      <c r="H36" s="585"/>
      <c r="I36" s="586"/>
    </row>
    <row r="37" spans="1:14" ht="21.75" customHeight="1" x14ac:dyDescent="0.2">
      <c r="A37" s="673" t="s">
        <v>598</v>
      </c>
      <c r="B37" s="673"/>
      <c r="C37" s="583"/>
      <c r="D37" s="583">
        <f>'SOLA-1'!$D$15:$E$15</f>
        <v>913920</v>
      </c>
      <c r="E37" s="583"/>
      <c r="F37" s="584"/>
      <c r="G37" s="567"/>
      <c r="H37" s="585"/>
      <c r="I37" s="586"/>
    </row>
    <row r="38" spans="1:14" hidden="1" x14ac:dyDescent="0.2">
      <c r="A38" s="677" t="s">
        <v>669</v>
      </c>
      <c r="B38" s="678"/>
      <c r="C38" s="583"/>
      <c r="D38" s="583"/>
      <c r="E38" s="583"/>
      <c r="F38" s="584"/>
      <c r="G38" s="567"/>
      <c r="H38" s="587"/>
      <c r="I38" s="586"/>
    </row>
    <row r="39" spans="1:14" hidden="1" x14ac:dyDescent="0.2">
      <c r="A39" s="677" t="s">
        <v>509</v>
      </c>
      <c r="B39" s="678">
        <f>IF(L34="NP",IF($U$3=$V$3,Q33,IF($U$3=$V$4,"")),0)</f>
        <v>0</v>
      </c>
      <c r="C39" s="583"/>
      <c r="D39" s="583">
        <f>'SOLA-1'!$D$16:$E$16</f>
        <v>0</v>
      </c>
      <c r="E39" s="583"/>
      <c r="F39" s="584"/>
      <c r="G39" s="567"/>
      <c r="H39" s="586"/>
      <c r="I39" s="586"/>
    </row>
    <row r="40" spans="1:14" hidden="1" x14ac:dyDescent="0.2">
      <c r="A40" s="677" t="s">
        <v>606</v>
      </c>
      <c r="B40" s="678">
        <f>IF(L35="NP",IF($U$3=$V$3,Q34,IF($U$3=$V$4,"")),0)</f>
        <v>0</v>
      </c>
      <c r="C40" s="583"/>
      <c r="D40" s="583">
        <f>'SOLA-1'!$D$17:$E$17</f>
        <v>0</v>
      </c>
      <c r="E40" s="583"/>
      <c r="F40" s="584"/>
      <c r="G40" s="567"/>
      <c r="H40" s="586"/>
      <c r="I40" s="586"/>
    </row>
    <row r="41" spans="1:14" ht="21.75" customHeight="1" x14ac:dyDescent="0.2">
      <c r="A41" s="677" t="s">
        <v>29</v>
      </c>
      <c r="B41" s="678">
        <f>IF(L37="NP",IF($U$3=$V$3,Q35,IF($U$3=$V$4,"")),0)</f>
        <v>0</v>
      </c>
      <c r="C41" s="583">
        <f>'SOLA-1'!$C$29</f>
        <v>100000</v>
      </c>
      <c r="D41" s="583">
        <f>'SOLA-1'!$D$29</f>
        <v>75000</v>
      </c>
      <c r="E41" s="583">
        <f>'SOLA-1'!$E$29</f>
        <v>25000</v>
      </c>
      <c r="F41" s="584"/>
      <c r="G41" s="567"/>
      <c r="H41" s="588"/>
      <c r="I41" s="564"/>
    </row>
    <row r="42" spans="1:14" ht="21.75" customHeight="1" x14ac:dyDescent="0.2">
      <c r="A42" s="680" t="s">
        <v>458</v>
      </c>
      <c r="B42" s="681"/>
      <c r="C42" s="583">
        <f>'SOLA-1'!$C$30</f>
        <v>5669640</v>
      </c>
      <c r="D42" s="583">
        <f>'SOLA-1'!$D$30</f>
        <v>5180040</v>
      </c>
      <c r="E42" s="583">
        <f>'SOLA-1'!$E$30</f>
        <v>255000</v>
      </c>
      <c r="F42" s="584">
        <f>'SOLA-1'!$F$30</f>
        <v>234600</v>
      </c>
      <c r="G42" s="567"/>
      <c r="H42" s="589"/>
      <c r="I42" s="590" t="s">
        <v>694</v>
      </c>
    </row>
    <row r="43" spans="1:14" ht="32" x14ac:dyDescent="0.2">
      <c r="A43" s="673" t="s">
        <v>481</v>
      </c>
      <c r="B43" s="673"/>
      <c r="C43" s="583">
        <f>'SOLA-1'!$C$31</f>
        <v>96160.666666666672</v>
      </c>
      <c r="D43" s="583">
        <f>'SOLA-1'!$D$31</f>
        <v>87584</v>
      </c>
      <c r="E43" s="583">
        <f>'SOLA-1'!$E$31</f>
        <v>4666.666666666667</v>
      </c>
      <c r="F43" s="584">
        <f>'SOLA-1'!$F$31</f>
        <v>3910</v>
      </c>
      <c r="G43" s="567"/>
      <c r="H43" s="585"/>
      <c r="I43" s="586" t="s">
        <v>695</v>
      </c>
    </row>
    <row r="44" spans="1:14" ht="25" hidden="1" customHeight="1" x14ac:dyDescent="0.2">
      <c r="A44" s="673" t="s">
        <v>452</v>
      </c>
      <c r="B44" s="673"/>
      <c r="C44" s="591" t="e">
        <f>#REF!</f>
        <v>#REF!</v>
      </c>
      <c r="D44" s="591" t="e">
        <f>#REF!</f>
        <v>#REF!</v>
      </c>
      <c r="E44" s="591" t="e">
        <f>#REF!</f>
        <v>#REF!</v>
      </c>
      <c r="F44" s="592"/>
      <c r="G44" s="700" t="s">
        <v>500</v>
      </c>
      <c r="H44" s="700"/>
      <c r="I44" s="593"/>
    </row>
    <row r="45" spans="1:14" x14ac:dyDescent="0.2">
      <c r="K45" s="163"/>
      <c r="L45" s="161"/>
      <c r="M45" s="162"/>
      <c r="N45" s="161"/>
    </row>
    <row r="46" spans="1:14" ht="19" x14ac:dyDescent="0.2">
      <c r="A46" s="671" t="str">
        <f>INPUT!F18</f>
        <v>20% Spot / 80% in 60 mos.  (with 3% Discount)</v>
      </c>
      <c r="B46" s="672"/>
      <c r="C46" s="672"/>
      <c r="D46" s="672"/>
      <c r="E46" s="672"/>
      <c r="F46" s="672"/>
      <c r="G46" s="672"/>
      <c r="H46" s="672"/>
      <c r="I46" s="672"/>
    </row>
    <row r="47" spans="1:14" ht="32" x14ac:dyDescent="0.2">
      <c r="A47" s="679" t="s">
        <v>26</v>
      </c>
      <c r="B47" s="679"/>
      <c r="C47" s="190" t="s">
        <v>130</v>
      </c>
      <c r="D47" s="392" t="s">
        <v>120</v>
      </c>
      <c r="E47" s="392" t="s">
        <v>121</v>
      </c>
      <c r="F47" s="392" t="s">
        <v>90</v>
      </c>
      <c r="G47" s="567"/>
      <c r="H47" s="393"/>
      <c r="I47" s="392" t="s">
        <v>449</v>
      </c>
    </row>
    <row r="48" spans="1:14" ht="15" hidden="1" customHeight="1" x14ac:dyDescent="0.2">
      <c r="A48" s="673" t="s">
        <v>597</v>
      </c>
      <c r="B48" s="673"/>
      <c r="C48" s="591"/>
      <c r="D48" s="591">
        <f>'SOLA-2'!$D$14:$E$14</f>
        <v>0</v>
      </c>
      <c r="E48" s="591"/>
      <c r="F48" s="594"/>
      <c r="G48" s="567"/>
      <c r="H48" s="586"/>
      <c r="I48" s="586"/>
    </row>
    <row r="49" spans="1:14" ht="21.75" customHeight="1" x14ac:dyDescent="0.2">
      <c r="A49" s="673" t="s">
        <v>673</v>
      </c>
      <c r="B49" s="673"/>
      <c r="C49" s="591"/>
      <c r="D49" s="591">
        <f>'SOLA-2'!$D$15:$E$15</f>
        <v>342720</v>
      </c>
      <c r="E49" s="591">
        <f>'SOLA-2'!I15</f>
        <v>0</v>
      </c>
      <c r="F49" s="594"/>
      <c r="G49" s="567"/>
      <c r="H49" s="586"/>
      <c r="I49" s="586"/>
    </row>
    <row r="50" spans="1:14" hidden="1" x14ac:dyDescent="0.2">
      <c r="A50" s="677" t="s">
        <v>669</v>
      </c>
      <c r="B50" s="678"/>
      <c r="C50" s="583"/>
      <c r="D50" s="583"/>
      <c r="E50" s="583"/>
      <c r="F50" s="584"/>
      <c r="G50" s="567"/>
      <c r="H50" s="587"/>
      <c r="I50" s="586"/>
    </row>
    <row r="51" spans="1:14" hidden="1" x14ac:dyDescent="0.2">
      <c r="A51" s="677" t="s">
        <v>509</v>
      </c>
      <c r="B51" s="678">
        <f>IF(L46="NP",IF($U$3=$V$3,Q45,IF($U$3=$V$4,"")),0)</f>
        <v>0</v>
      </c>
      <c r="C51" s="583"/>
      <c r="D51" s="583">
        <f>'SOLA-2'!$D$16:$E$16</f>
        <v>0</v>
      </c>
      <c r="E51" s="583"/>
      <c r="F51" s="584"/>
      <c r="G51" s="567"/>
      <c r="H51" s="586"/>
      <c r="I51" s="586"/>
    </row>
    <row r="52" spans="1:14" hidden="1" x14ac:dyDescent="0.2">
      <c r="A52" s="677" t="s">
        <v>606</v>
      </c>
      <c r="B52" s="678">
        <f>IF(L47="NP",IF($U$3=$V$3,Q46,IF($U$3=$V$4,"")),0)</f>
        <v>0</v>
      </c>
      <c r="C52" s="583"/>
      <c r="D52" s="583">
        <f>'SOLA-2'!$D$17:$E$17</f>
        <v>0</v>
      </c>
      <c r="E52" s="583"/>
      <c r="F52" s="584"/>
      <c r="G52" s="567"/>
      <c r="H52" s="586"/>
      <c r="I52" s="586"/>
    </row>
    <row r="53" spans="1:14" ht="21.75" customHeight="1" x14ac:dyDescent="0.2">
      <c r="A53" s="677" t="s">
        <v>29</v>
      </c>
      <c r="B53" s="678">
        <f>IF(L49="NP",IF($U$3=$V$3,Q47,IF($U$3=$V$4,"")),0)</f>
        <v>0</v>
      </c>
      <c r="C53" s="583">
        <f>'SOLA-2'!$C$29</f>
        <v>100000</v>
      </c>
      <c r="D53" s="583">
        <f>'SOLA-2'!$D$29</f>
        <v>75000</v>
      </c>
      <c r="E53" s="583">
        <f>'SOLA-2'!$E$29</f>
        <v>25000</v>
      </c>
      <c r="F53" s="584"/>
      <c r="G53" s="567"/>
      <c r="H53" s="588"/>
      <c r="I53" s="564"/>
    </row>
    <row r="54" spans="1:14" ht="21.75" customHeight="1" x14ac:dyDescent="0.2">
      <c r="A54" s="680" t="s">
        <v>458</v>
      </c>
      <c r="B54" s="681"/>
      <c r="C54" s="583">
        <f>'SOLA-2'!$C$30</f>
        <v>2327195.9999999995</v>
      </c>
      <c r="D54" s="583">
        <f>'SOLA-2'!$D$30</f>
        <v>2141255.9999999995</v>
      </c>
      <c r="E54" s="583">
        <f>'SOLA-2'!$E$30</f>
        <v>87000</v>
      </c>
      <c r="F54" s="584">
        <f>'SOLA-2'!$F$30</f>
        <v>98940</v>
      </c>
      <c r="G54" s="567"/>
      <c r="H54" s="589"/>
      <c r="I54" s="590" t="s">
        <v>694</v>
      </c>
    </row>
    <row r="55" spans="1:14" ht="32" x14ac:dyDescent="0.2">
      <c r="A55" s="673" t="s">
        <v>481</v>
      </c>
      <c r="B55" s="673"/>
      <c r="C55" s="583">
        <f>'SOLA-2'!$C$36</f>
        <v>161813.06666666662</v>
      </c>
      <c r="D55" s="583">
        <f>'SOLA-2'!$D$36</f>
        <v>147750.39999999997</v>
      </c>
      <c r="E55" s="583">
        <f>'SOLA-2'!$E$36</f>
        <v>7466.666666666667</v>
      </c>
      <c r="F55" s="584">
        <f>'SOLA-2'!$F$36</f>
        <v>6596</v>
      </c>
      <c r="G55" s="567"/>
      <c r="H55" s="585"/>
      <c r="I55" s="586" t="s">
        <v>695</v>
      </c>
    </row>
    <row r="56" spans="1:14" ht="16" hidden="1" x14ac:dyDescent="0.2">
      <c r="A56" s="673" t="s">
        <v>452</v>
      </c>
      <c r="B56" s="673"/>
      <c r="C56" s="583"/>
      <c r="D56" s="583"/>
      <c r="E56" s="583"/>
      <c r="F56" s="584"/>
      <c r="G56" s="567"/>
      <c r="H56" s="585"/>
      <c r="I56" s="586" t="s">
        <v>482</v>
      </c>
    </row>
    <row r="57" spans="1:14" x14ac:dyDescent="0.2">
      <c r="C57" s="563"/>
      <c r="D57" s="563"/>
      <c r="E57" s="563"/>
      <c r="F57" s="563"/>
      <c r="K57" s="163"/>
      <c r="L57" s="161"/>
      <c r="M57" s="162"/>
      <c r="N57" s="161"/>
    </row>
    <row r="58" spans="1:14" ht="19" x14ac:dyDescent="0.2">
      <c r="A58" s="671" t="str">
        <f>INPUT!F19</f>
        <v>10% Spot / 15% in 30 mos / 75% LS</v>
      </c>
      <c r="B58" s="672"/>
      <c r="C58" s="672"/>
      <c r="D58" s="672"/>
      <c r="E58" s="672"/>
      <c r="F58" s="672"/>
      <c r="G58" s="672"/>
      <c r="H58" s="672"/>
      <c r="I58" s="672"/>
    </row>
    <row r="59" spans="1:14" ht="32" x14ac:dyDescent="0.2">
      <c r="A59" s="679" t="s">
        <v>26</v>
      </c>
      <c r="B59" s="679"/>
      <c r="C59" s="190" t="s">
        <v>130</v>
      </c>
      <c r="D59" s="392" t="s">
        <v>120</v>
      </c>
      <c r="E59" s="392" t="s">
        <v>121</v>
      </c>
      <c r="F59" s="392" t="s">
        <v>90</v>
      </c>
      <c r="G59" s="567"/>
      <c r="H59" s="393"/>
      <c r="I59" s="392" t="s">
        <v>449</v>
      </c>
    </row>
    <row r="60" spans="1:14" s="399" customFormat="1" hidden="1" x14ac:dyDescent="0.2">
      <c r="A60" s="673" t="s">
        <v>597</v>
      </c>
      <c r="B60" s="673"/>
      <c r="C60" s="396"/>
      <c r="D60" s="596">
        <f>'SOLA-3'!$D$14:$E$14</f>
        <v>0</v>
      </c>
      <c r="E60" s="397"/>
      <c r="F60" s="397"/>
      <c r="G60" s="597"/>
      <c r="H60" s="398"/>
      <c r="I60" s="397"/>
    </row>
    <row r="61" spans="1:14" hidden="1" x14ac:dyDescent="0.2">
      <c r="A61" s="673" t="s">
        <v>674</v>
      </c>
      <c r="B61" s="673"/>
      <c r="C61" s="583"/>
      <c r="D61" s="583">
        <f>'SOLA-3'!$D$15:$E$15</f>
        <v>0</v>
      </c>
      <c r="E61" s="583"/>
      <c r="F61" s="584"/>
      <c r="G61" s="567"/>
      <c r="H61" s="586"/>
      <c r="I61" s="586"/>
    </row>
    <row r="62" spans="1:14" hidden="1" x14ac:dyDescent="0.2">
      <c r="A62" s="677" t="s">
        <v>669</v>
      </c>
      <c r="B62" s="678"/>
      <c r="C62" s="583"/>
      <c r="D62" s="583"/>
      <c r="E62" s="583"/>
      <c r="F62" s="584"/>
      <c r="G62" s="567"/>
      <c r="H62" s="586"/>
      <c r="I62" s="586"/>
    </row>
    <row r="63" spans="1:14" hidden="1" x14ac:dyDescent="0.2">
      <c r="A63" s="677" t="s">
        <v>509</v>
      </c>
      <c r="B63" s="678">
        <f>IF(L58="NP",IF($U$3=$V$3,Q57,IF($U$3=$V$4,"")),0)</f>
        <v>0</v>
      </c>
      <c r="C63" s="598"/>
      <c r="D63" s="598">
        <f>'SOLA-3'!$D$16:$E$16</f>
        <v>0</v>
      </c>
      <c r="E63" s="598"/>
      <c r="F63" s="599"/>
      <c r="G63" s="567"/>
      <c r="H63" s="600"/>
      <c r="I63" s="601"/>
    </row>
    <row r="64" spans="1:14" hidden="1" x14ac:dyDescent="0.2">
      <c r="A64" s="677" t="s">
        <v>606</v>
      </c>
      <c r="B64" s="678">
        <f>IF(L59="NP",IF($U$3=$V$3,Q58,IF($U$3=$V$4,"")),0)</f>
        <v>0</v>
      </c>
      <c r="C64" s="583"/>
      <c r="D64" s="583">
        <f>'SOLA-3'!$D$17:$E$17</f>
        <v>0</v>
      </c>
      <c r="E64" s="583"/>
      <c r="F64" s="584"/>
      <c r="G64" s="564"/>
      <c r="H64" s="595"/>
      <c r="I64" s="590"/>
    </row>
    <row r="65" spans="1:14" ht="21.75" customHeight="1" x14ac:dyDescent="0.2">
      <c r="A65" s="677" t="s">
        <v>29</v>
      </c>
      <c r="B65" s="678">
        <f>IF(L61="NP",IF($U$3=$V$3,Q59,IF($U$3=$V$4,"")),0)</f>
        <v>0</v>
      </c>
      <c r="C65" s="598">
        <f>'SOLA-3'!$C$29</f>
        <v>100000</v>
      </c>
      <c r="D65" s="598">
        <f>'SOLA-3'!$D$29</f>
        <v>75000</v>
      </c>
      <c r="E65" s="598">
        <f>'SOLA-3'!$E$29</f>
        <v>25000</v>
      </c>
      <c r="F65" s="599"/>
      <c r="G65" s="564"/>
      <c r="H65" s="595"/>
      <c r="I65" s="590"/>
    </row>
    <row r="66" spans="1:14" ht="21.75" customHeight="1" x14ac:dyDescent="0.2">
      <c r="A66" s="680" t="s">
        <v>458</v>
      </c>
      <c r="B66" s="681"/>
      <c r="C66" s="583">
        <f>'SOLA-3'!$C$30</f>
        <v>1149399.9999999998</v>
      </c>
      <c r="D66" s="583">
        <f>'SOLA-3'!$D$30</f>
        <v>1067399.9999999998</v>
      </c>
      <c r="E66" s="583">
        <f>'SOLA-3'!$E$30</f>
        <v>31000</v>
      </c>
      <c r="F66" s="584">
        <f>'SOLA-3'!$F$30</f>
        <v>51000</v>
      </c>
      <c r="G66" s="564"/>
      <c r="H66" s="595"/>
      <c r="I66" s="590" t="s">
        <v>694</v>
      </c>
    </row>
    <row r="67" spans="1:14" ht="32" x14ac:dyDescent="0.2">
      <c r="A67" s="673" t="s">
        <v>481</v>
      </c>
      <c r="B67" s="673"/>
      <c r="C67" s="583">
        <f>'SOLA-3'!$C$31</f>
        <v>62469.999999999993</v>
      </c>
      <c r="D67" s="583">
        <f>'SOLA-3'!$D$31</f>
        <v>57119.999999999993</v>
      </c>
      <c r="E67" s="583">
        <f>'SOLA-3'!$E$31</f>
        <v>2800</v>
      </c>
      <c r="F67" s="583">
        <f>'SOLA-3'!$F$31</f>
        <v>2549.9999999999995</v>
      </c>
      <c r="G67" s="676" t="s">
        <v>510</v>
      </c>
      <c r="H67" s="676"/>
      <c r="I67" s="586" t="s">
        <v>696</v>
      </c>
    </row>
    <row r="68" spans="1:14" ht="21.75" customHeight="1" x14ac:dyDescent="0.2">
      <c r="A68" s="673" t="s">
        <v>452</v>
      </c>
      <c r="B68" s="673"/>
      <c r="C68" s="583">
        <f>'SOLA-3'!C61</f>
        <v>9370499.9999999981</v>
      </c>
      <c r="D68" s="591">
        <f>'SOLA-3'!D61</f>
        <v>8567999.9999999981</v>
      </c>
      <c r="E68" s="583">
        <f>'SOLA-3'!E61</f>
        <v>420000</v>
      </c>
      <c r="F68" s="583">
        <f>'SOLA-3'!F61</f>
        <v>382499.99999999994</v>
      </c>
      <c r="G68" s="676" t="s">
        <v>482</v>
      </c>
      <c r="H68" s="676"/>
      <c r="I68" s="586" t="s">
        <v>675</v>
      </c>
    </row>
    <row r="69" spans="1:14" x14ac:dyDescent="0.2">
      <c r="A69" s="168"/>
      <c r="B69" s="168"/>
      <c r="C69" s="572"/>
      <c r="D69" s="572"/>
      <c r="E69" s="572"/>
      <c r="F69" s="572"/>
      <c r="G69" s="593"/>
      <c r="H69" s="593"/>
      <c r="I69" s="593"/>
    </row>
    <row r="70" spans="1:14" ht="19" x14ac:dyDescent="0.2">
      <c r="A70" s="671" t="str">
        <f>INPUT!F20</f>
        <v>10% in 5 mos / 90% in 55 mos</v>
      </c>
      <c r="B70" s="672"/>
      <c r="C70" s="672"/>
      <c r="D70" s="672"/>
      <c r="E70" s="672"/>
      <c r="F70" s="672"/>
      <c r="G70" s="672"/>
      <c r="H70" s="672"/>
      <c r="I70" s="672"/>
    </row>
    <row r="71" spans="1:14" ht="32" x14ac:dyDescent="0.2">
      <c r="A71" s="679" t="s">
        <v>26</v>
      </c>
      <c r="B71" s="679"/>
      <c r="C71" s="190" t="s">
        <v>130</v>
      </c>
      <c r="D71" s="392" t="s">
        <v>120</v>
      </c>
      <c r="E71" s="392" t="s">
        <v>121</v>
      </c>
      <c r="F71" s="392" t="s">
        <v>90</v>
      </c>
      <c r="G71" s="567"/>
      <c r="H71" s="393"/>
      <c r="I71" s="392" t="s">
        <v>449</v>
      </c>
      <c r="M71" s="382"/>
      <c r="N71" s="382"/>
    </row>
    <row r="72" spans="1:14" hidden="1" x14ac:dyDescent="0.2">
      <c r="A72" s="673" t="s">
        <v>597</v>
      </c>
      <c r="B72" s="673"/>
      <c r="C72" s="583"/>
      <c r="D72" s="602">
        <f>'SOLA-4'!$D$14:$E$14</f>
        <v>0</v>
      </c>
      <c r="E72" s="583"/>
      <c r="F72" s="584"/>
      <c r="G72" s="567"/>
      <c r="H72" s="587"/>
      <c r="I72" s="586"/>
      <c r="M72" s="382"/>
      <c r="N72" s="382"/>
    </row>
    <row r="73" spans="1:14" hidden="1" x14ac:dyDescent="0.2">
      <c r="A73" s="673" t="s">
        <v>674</v>
      </c>
      <c r="B73" s="673"/>
      <c r="C73" s="583"/>
      <c r="D73" s="583">
        <f>'SOLA-4'!$D$15:$E$15</f>
        <v>0</v>
      </c>
      <c r="E73" s="583"/>
      <c r="F73" s="584"/>
      <c r="G73" s="567"/>
      <c r="H73" s="586"/>
      <c r="I73" s="586"/>
    </row>
    <row r="74" spans="1:14" hidden="1" x14ac:dyDescent="0.2">
      <c r="A74" s="677" t="s">
        <v>669</v>
      </c>
      <c r="B74" s="678"/>
      <c r="C74" s="583"/>
      <c r="D74" s="583"/>
      <c r="E74" s="583"/>
      <c r="F74" s="584"/>
      <c r="G74" s="567"/>
      <c r="H74" s="587"/>
      <c r="I74" s="586"/>
    </row>
    <row r="75" spans="1:14" hidden="1" x14ac:dyDescent="0.2">
      <c r="A75" s="677" t="s">
        <v>509</v>
      </c>
      <c r="B75" s="678">
        <f>IF(L70="NP",IF($U$3=$V$3,Q69,IF($U$3=$V$4,"")),0)</f>
        <v>0</v>
      </c>
      <c r="C75" s="583"/>
      <c r="D75" s="583">
        <f>'SOLA-4'!$D$16:$E$16</f>
        <v>0</v>
      </c>
      <c r="E75" s="583"/>
      <c r="F75" s="584"/>
      <c r="G75" s="567"/>
      <c r="H75" s="587"/>
      <c r="I75" s="586"/>
    </row>
    <row r="76" spans="1:14" hidden="1" x14ac:dyDescent="0.2">
      <c r="A76" s="677" t="s">
        <v>606</v>
      </c>
      <c r="B76" s="678">
        <f>IF(L71="NP",IF($U$3=$V$3,Q70,IF($U$3=$V$4,"")),0)</f>
        <v>0</v>
      </c>
      <c r="C76" s="583"/>
      <c r="D76" s="583">
        <f>'SOLA-4'!$D$17:$E$17</f>
        <v>0</v>
      </c>
      <c r="E76" s="583"/>
      <c r="F76" s="584"/>
      <c r="G76" s="567"/>
      <c r="H76" s="587"/>
      <c r="I76" s="586"/>
    </row>
    <row r="77" spans="1:14" ht="21.75" customHeight="1" x14ac:dyDescent="0.2">
      <c r="A77" s="677" t="s">
        <v>29</v>
      </c>
      <c r="B77" s="678">
        <f>IF(L73="NP",IF($U$3=$V$3,Q71,IF($U$3=$V$4,"")),0)</f>
        <v>0</v>
      </c>
      <c r="C77" s="602">
        <f>'SOLA-4'!$C$29</f>
        <v>100000</v>
      </c>
      <c r="D77" s="602">
        <f>'SOLA-4'!$D$29</f>
        <v>75000</v>
      </c>
      <c r="E77" s="602">
        <f>'SOLA-4'!$E$29</f>
        <v>25000</v>
      </c>
      <c r="F77" s="602">
        <f>'SOLA-4'!$F$29</f>
        <v>0</v>
      </c>
      <c r="G77" s="567"/>
      <c r="H77" s="587"/>
      <c r="I77" s="586"/>
      <c r="J77" s="382"/>
      <c r="N77" s="382"/>
    </row>
    <row r="78" spans="1:14" ht="21.75" customHeight="1" x14ac:dyDescent="0.2">
      <c r="A78" s="680" t="s">
        <v>693</v>
      </c>
      <c r="B78" s="681"/>
      <c r="C78" s="583">
        <f>'SOLA-4'!$C$30</f>
        <v>229879.99999999994</v>
      </c>
      <c r="D78" s="583">
        <f>'SOLA-4'!$D$30</f>
        <v>213479.99999999994</v>
      </c>
      <c r="E78" s="583">
        <f>'SOLA-4'!$E$30</f>
        <v>6200</v>
      </c>
      <c r="F78" s="584">
        <f>'SOLA-4'!$F$30</f>
        <v>10200</v>
      </c>
      <c r="G78" s="567"/>
      <c r="H78" s="603"/>
      <c r="I78" s="590" t="s">
        <v>697</v>
      </c>
      <c r="J78" s="382"/>
      <c r="M78" s="382"/>
    </row>
    <row r="79" spans="1:14" ht="32" x14ac:dyDescent="0.2">
      <c r="A79" s="673" t="s">
        <v>481</v>
      </c>
      <c r="B79" s="673"/>
      <c r="C79" s="583">
        <f>'SOLA-4'!$C$35</f>
        <v>204447.27272727271</v>
      </c>
      <c r="D79" s="583">
        <f>'SOLA-4'!$D$35</f>
        <v>186938.18181818179</v>
      </c>
      <c r="E79" s="583">
        <f>'SOLA-4'!$E$35</f>
        <v>9163.636363636364</v>
      </c>
      <c r="F79" s="584">
        <f>'SOLA-4'!$F$35</f>
        <v>8345.4545454545441</v>
      </c>
      <c r="G79" s="567"/>
      <c r="H79" s="604"/>
      <c r="I79" s="586" t="s">
        <v>698</v>
      </c>
    </row>
    <row r="80" spans="1:14" ht="16" hidden="1" x14ac:dyDescent="0.2">
      <c r="A80" s="673" t="s">
        <v>452</v>
      </c>
      <c r="B80" s="673"/>
      <c r="C80" s="602"/>
      <c r="D80" s="602"/>
      <c r="E80" s="602"/>
      <c r="F80" s="584"/>
      <c r="G80" s="567"/>
      <c r="H80" s="603"/>
      <c r="I80" s="586" t="s">
        <v>675</v>
      </c>
    </row>
    <row r="81" spans="1:14" ht="25" hidden="1" customHeight="1" x14ac:dyDescent="0.2">
      <c r="A81" s="168"/>
      <c r="B81" s="168"/>
      <c r="C81" s="605"/>
      <c r="D81" s="605"/>
      <c r="E81" s="605"/>
      <c r="F81" s="606"/>
      <c r="G81" s="567"/>
      <c r="H81" s="607"/>
      <c r="I81" s="607"/>
    </row>
    <row r="82" spans="1:14" ht="19" hidden="1" x14ac:dyDescent="0.2">
      <c r="A82" s="671" t="str">
        <f>INPUT!G67</f>
        <v>LIMITED TERM (first 5 accounts): 10% in 2 mos. / 90% in 118 mos.</v>
      </c>
      <c r="B82" s="672"/>
      <c r="C82" s="672"/>
      <c r="D82" s="672"/>
      <c r="E82" s="672"/>
      <c r="F82" s="672"/>
      <c r="G82" s="672"/>
      <c r="H82" s="672"/>
      <c r="I82" s="672"/>
    </row>
    <row r="83" spans="1:14" ht="32" hidden="1" x14ac:dyDescent="0.2">
      <c r="A83" s="679" t="s">
        <v>26</v>
      </c>
      <c r="B83" s="679"/>
      <c r="C83" s="190" t="s">
        <v>130</v>
      </c>
      <c r="D83" s="392" t="s">
        <v>120</v>
      </c>
      <c r="E83" s="392" t="s">
        <v>121</v>
      </c>
      <c r="F83" s="392" t="s">
        <v>90</v>
      </c>
      <c r="G83" s="567"/>
      <c r="H83" s="393"/>
      <c r="I83" s="392" t="s">
        <v>449</v>
      </c>
      <c r="M83" s="382"/>
      <c r="N83" s="382"/>
    </row>
    <row r="84" spans="1:14" hidden="1" x14ac:dyDescent="0.2">
      <c r="A84" s="673" t="s">
        <v>597</v>
      </c>
      <c r="B84" s="673"/>
      <c r="C84" s="583"/>
      <c r="D84" s="602">
        <f>'SOLA-5'!$D$14:$E$14</f>
        <v>0</v>
      </c>
      <c r="E84" s="583"/>
      <c r="F84" s="584"/>
      <c r="G84" s="567"/>
      <c r="H84" s="587"/>
      <c r="I84" s="586"/>
      <c r="M84" s="382"/>
      <c r="N84" s="382"/>
    </row>
    <row r="85" spans="1:14" hidden="1" x14ac:dyDescent="0.2">
      <c r="A85" s="673" t="s">
        <v>674</v>
      </c>
      <c r="B85" s="673"/>
      <c r="C85" s="583"/>
      <c r="D85" s="583">
        <f>'SOLA-5'!$D$15:$E$15</f>
        <v>0</v>
      </c>
      <c r="E85" s="583"/>
      <c r="F85" s="584"/>
      <c r="G85" s="567"/>
      <c r="H85" s="586"/>
      <c r="I85" s="586"/>
    </row>
    <row r="86" spans="1:14" hidden="1" x14ac:dyDescent="0.2">
      <c r="A86" s="677" t="s">
        <v>669</v>
      </c>
      <c r="B86" s="678"/>
      <c r="C86" s="583"/>
      <c r="D86" s="583"/>
      <c r="E86" s="583"/>
      <c r="F86" s="584"/>
      <c r="G86" s="567"/>
      <c r="H86" s="587"/>
      <c r="I86" s="586"/>
    </row>
    <row r="87" spans="1:14" hidden="1" x14ac:dyDescent="0.2">
      <c r="A87" s="677" t="s">
        <v>509</v>
      </c>
      <c r="B87" s="678">
        <f>IF(L82="NP",IF($U$3=$V$3,Q81,IF($U$3=$V$4,"")),0)</f>
        <v>0</v>
      </c>
      <c r="C87" s="583"/>
      <c r="D87" s="583">
        <f>'SOLA-5'!$D$16:$E$16</f>
        <v>0</v>
      </c>
      <c r="E87" s="583"/>
      <c r="F87" s="584"/>
      <c r="G87" s="567"/>
      <c r="H87" s="587"/>
      <c r="I87" s="586"/>
    </row>
    <row r="88" spans="1:14" hidden="1" x14ac:dyDescent="0.2">
      <c r="A88" s="677" t="s">
        <v>606</v>
      </c>
      <c r="B88" s="678">
        <f>IF(L83="NP",IF($U$3=$V$3,Q82,IF($U$3=$V$4,"")),0)</f>
        <v>0</v>
      </c>
      <c r="C88" s="583"/>
      <c r="D88" s="583">
        <f>'SOLA-5'!$D$17:$E$17</f>
        <v>0</v>
      </c>
      <c r="E88" s="583"/>
      <c r="F88" s="584"/>
      <c r="G88" s="567"/>
      <c r="H88" s="587"/>
      <c r="I88" s="586"/>
    </row>
    <row r="89" spans="1:14" ht="21.75" hidden="1" customHeight="1" x14ac:dyDescent="0.2">
      <c r="A89" s="677" t="s">
        <v>29</v>
      </c>
      <c r="B89" s="678">
        <f>IF(L85="NP",IF($U$3=$V$3,Q83,IF($U$3=$V$4,"")),0)</f>
        <v>0</v>
      </c>
      <c r="C89" s="602">
        <f>'SOLA-5'!$C$29</f>
        <v>100000</v>
      </c>
      <c r="D89" s="602">
        <f>'SOLA-5'!$D$29</f>
        <v>75000</v>
      </c>
      <c r="E89" s="602">
        <f>'SOLA-5'!$E$29</f>
        <v>25000</v>
      </c>
      <c r="F89" s="584"/>
      <c r="G89" s="567"/>
      <c r="H89" s="587"/>
      <c r="I89" s="586"/>
      <c r="J89" s="382"/>
      <c r="N89" s="382"/>
    </row>
    <row r="90" spans="1:14" ht="21.75" hidden="1" customHeight="1" x14ac:dyDescent="0.2">
      <c r="A90" s="673" t="s">
        <v>676</v>
      </c>
      <c r="B90" s="673"/>
      <c r="C90" s="602">
        <f>'SOLA-5'!$C$30</f>
        <v>574699.99999999988</v>
      </c>
      <c r="D90" s="602">
        <f>'SOLA-5'!$D$30</f>
        <v>533699.99999999988</v>
      </c>
      <c r="E90" s="602">
        <f>'SOLA-5'!$E$30</f>
        <v>15500</v>
      </c>
      <c r="F90" s="602">
        <f>'SOLA-5'!$F$30</f>
        <v>25500</v>
      </c>
      <c r="G90" s="567"/>
      <c r="H90" s="603"/>
      <c r="I90" s="590" t="s">
        <v>671</v>
      </c>
      <c r="J90" s="382"/>
      <c r="M90" s="382"/>
    </row>
    <row r="91" spans="1:14" ht="21.75" hidden="1" customHeight="1" x14ac:dyDescent="0.2">
      <c r="A91" s="673" t="s">
        <v>677</v>
      </c>
      <c r="B91" s="673"/>
      <c r="C91" s="602">
        <f>'SOLA-5'!$C$31</f>
        <v>574699.99999999988</v>
      </c>
      <c r="D91" s="602">
        <f>'SOLA-5'!$D$31</f>
        <v>533699.99999999988</v>
      </c>
      <c r="E91" s="602">
        <f>'SOLA-5'!$E$31</f>
        <v>15500</v>
      </c>
      <c r="F91" s="602">
        <f>'SOLA-5'!$F$31</f>
        <v>25500</v>
      </c>
      <c r="G91" s="567"/>
      <c r="H91" s="604"/>
      <c r="I91" s="590" t="s">
        <v>678</v>
      </c>
    </row>
    <row r="92" spans="1:14" ht="32" hidden="1" x14ac:dyDescent="0.2">
      <c r="A92" s="673" t="s">
        <v>481</v>
      </c>
      <c r="B92" s="673"/>
      <c r="C92" s="602">
        <f>'SOLA-5'!$C$32</f>
        <v>95293.220338983039</v>
      </c>
      <c r="D92" s="602">
        <f>'SOLA-5'!$D$32</f>
        <v>87132.203389830494</v>
      </c>
      <c r="E92" s="602">
        <f>'SOLA-5'!$E$32</f>
        <v>4271.1864406779659</v>
      </c>
      <c r="F92" s="602">
        <f>'SOLA-5'!$F$32</f>
        <v>3889.8305084745757</v>
      </c>
      <c r="G92" s="567"/>
      <c r="H92" s="603"/>
      <c r="I92" s="586" t="s">
        <v>679</v>
      </c>
    </row>
    <row r="93" spans="1:14" x14ac:dyDescent="0.2">
      <c r="A93" s="168"/>
      <c r="B93" s="168"/>
      <c r="C93" s="572"/>
      <c r="D93" s="572"/>
      <c r="E93" s="572"/>
      <c r="F93" s="572"/>
      <c r="G93" s="593"/>
      <c r="H93" s="593"/>
      <c r="I93" s="593"/>
    </row>
    <row r="94" spans="1:14" x14ac:dyDescent="0.2">
      <c r="A94" s="168"/>
      <c r="B94" s="168"/>
      <c r="C94" s="572"/>
      <c r="D94" s="572"/>
      <c r="E94" s="572"/>
      <c r="F94" s="572"/>
      <c r="G94" s="593"/>
      <c r="H94" s="593"/>
      <c r="I94" s="593"/>
    </row>
    <row r="95" spans="1:14" x14ac:dyDescent="0.2">
      <c r="A95" s="618" t="s">
        <v>113</v>
      </c>
      <c r="B95" s="610"/>
      <c r="C95" s="611"/>
      <c r="D95" s="612"/>
      <c r="E95" s="612"/>
      <c r="F95" s="612"/>
      <c r="G95" s="612"/>
      <c r="H95" s="613"/>
      <c r="I95" s="192"/>
    </row>
    <row r="96" spans="1:14" x14ac:dyDescent="0.15">
      <c r="A96" s="701" t="s">
        <v>531</v>
      </c>
      <c r="B96" s="701"/>
      <c r="C96" s="701"/>
      <c r="D96" s="701"/>
      <c r="E96" s="701"/>
      <c r="F96" s="701"/>
      <c r="G96" s="701"/>
      <c r="H96" s="701"/>
      <c r="I96" s="701"/>
    </row>
    <row r="97" spans="1:9" x14ac:dyDescent="0.2">
      <c r="A97" s="674" t="s">
        <v>610</v>
      </c>
      <c r="B97" s="674"/>
      <c r="C97" s="674"/>
      <c r="D97" s="674"/>
      <c r="E97" s="674"/>
      <c r="F97" s="674"/>
      <c r="G97" s="674"/>
      <c r="H97" s="674"/>
      <c r="I97" s="674"/>
    </row>
    <row r="98" spans="1:9" x14ac:dyDescent="0.2">
      <c r="A98" s="674" t="s">
        <v>532</v>
      </c>
      <c r="B98" s="674"/>
      <c r="C98" s="674"/>
      <c r="D98" s="674"/>
      <c r="E98" s="674"/>
      <c r="F98" s="674"/>
      <c r="G98" s="674"/>
      <c r="H98" s="674"/>
      <c r="I98" s="674"/>
    </row>
    <row r="99" spans="1:9" x14ac:dyDescent="0.2">
      <c r="A99" s="674" t="s">
        <v>533</v>
      </c>
      <c r="B99" s="674"/>
      <c r="C99" s="674"/>
      <c r="D99" s="674"/>
      <c r="E99" s="674"/>
      <c r="F99" s="674"/>
      <c r="G99" s="674"/>
      <c r="H99" s="674"/>
      <c r="I99" s="674"/>
    </row>
    <row r="100" spans="1:9" ht="105" customHeight="1" x14ac:dyDescent="0.2">
      <c r="A100" s="674" t="s">
        <v>684</v>
      </c>
      <c r="B100" s="674"/>
      <c r="C100" s="674"/>
      <c r="D100" s="674"/>
      <c r="E100" s="674"/>
      <c r="F100" s="674"/>
      <c r="G100" s="674"/>
      <c r="H100" s="674"/>
      <c r="I100" s="674"/>
    </row>
    <row r="101" spans="1:9" ht="33.75" customHeight="1" x14ac:dyDescent="0.2">
      <c r="A101" s="675" t="s">
        <v>683</v>
      </c>
      <c r="B101" s="675"/>
      <c r="C101" s="675"/>
      <c r="D101" s="675"/>
      <c r="E101" s="675"/>
      <c r="F101" s="675"/>
      <c r="G101" s="675"/>
      <c r="H101" s="675"/>
      <c r="I101" s="675"/>
    </row>
    <row r="102" spans="1:9" x14ac:dyDescent="0.2">
      <c r="A102" s="675" t="s">
        <v>685</v>
      </c>
      <c r="B102" s="675"/>
      <c r="C102" s="675"/>
      <c r="D102" s="675"/>
      <c r="E102" s="675"/>
      <c r="F102" s="675"/>
      <c r="G102" s="675"/>
      <c r="H102" s="675"/>
      <c r="I102" s="675"/>
    </row>
    <row r="103" spans="1:9" x14ac:dyDescent="0.2">
      <c r="A103" s="675" t="s">
        <v>686</v>
      </c>
      <c r="B103" s="675"/>
      <c r="C103" s="675"/>
      <c r="D103" s="675"/>
      <c r="E103" s="675"/>
      <c r="F103" s="675"/>
      <c r="G103" s="675"/>
      <c r="H103" s="675"/>
      <c r="I103" s="675"/>
    </row>
    <row r="104" spans="1:9" x14ac:dyDescent="0.2">
      <c r="A104" s="686"/>
      <c r="B104" s="686"/>
      <c r="C104" s="686"/>
      <c r="D104" s="686"/>
      <c r="E104" s="686"/>
      <c r="F104" s="686"/>
      <c r="G104" s="686"/>
      <c r="H104" s="686"/>
      <c r="I104" s="609"/>
    </row>
    <row r="110" spans="1:9" hidden="1" x14ac:dyDescent="0.2">
      <c r="B110" s="169"/>
    </row>
    <row r="111" spans="1:9" hidden="1" x14ac:dyDescent="0.2">
      <c r="B111" s="169"/>
    </row>
    <row r="112" spans="1:9" hidden="1" x14ac:dyDescent="0.2">
      <c r="B112" s="169"/>
    </row>
    <row r="113" spans="2:2" hidden="1" x14ac:dyDescent="0.2">
      <c r="B113" s="169"/>
    </row>
    <row r="114" spans="2:2" hidden="1" x14ac:dyDescent="0.2">
      <c r="B114" s="180"/>
    </row>
    <row r="115" spans="2:2" hidden="1" x14ac:dyDescent="0.2">
      <c r="B115" s="386"/>
    </row>
    <row r="116" spans="2:2" hidden="1" x14ac:dyDescent="0.2">
      <c r="B116" s="169"/>
    </row>
    <row r="117" spans="2:2" hidden="1" x14ac:dyDescent="0.2">
      <c r="B117" s="169"/>
    </row>
    <row r="118" spans="2:2" hidden="1" x14ac:dyDescent="0.2">
      <c r="B118" s="169"/>
    </row>
    <row r="119" spans="2:2" x14ac:dyDescent="0.2"/>
    <row r="120" spans="2:2" x14ac:dyDescent="0.2"/>
    <row r="121" spans="2:2" x14ac:dyDescent="0.2"/>
  </sheetData>
  <sheetProtection password="8BA1" sheet="1" selectLockedCells="1" selectUnlockedCells="1"/>
  <mergeCells count="93">
    <mergeCell ref="A44:B44"/>
    <mergeCell ref="A54:B54"/>
    <mergeCell ref="A55:B55"/>
    <mergeCell ref="A103:I103"/>
    <mergeCell ref="A65:B65"/>
    <mergeCell ref="A66:B66"/>
    <mergeCell ref="A74:B74"/>
    <mergeCell ref="A75:B75"/>
    <mergeCell ref="A76:B76"/>
    <mergeCell ref="A98:I98"/>
    <mergeCell ref="A99:I99"/>
    <mergeCell ref="A96:I96"/>
    <mergeCell ref="A91:B91"/>
    <mergeCell ref="A62:B62"/>
    <mergeCell ref="A61:B61"/>
    <mergeCell ref="A59:B59"/>
    <mergeCell ref="A60:B60"/>
    <mergeCell ref="A49:B49"/>
    <mergeCell ref="B6:C6"/>
    <mergeCell ref="A35:B35"/>
    <mergeCell ref="A26:B26"/>
    <mergeCell ref="A32:B32"/>
    <mergeCell ref="A27:B27"/>
    <mergeCell ref="A28:B28"/>
    <mergeCell ref="A29:B29"/>
    <mergeCell ref="A31:B31"/>
    <mergeCell ref="B1:C1"/>
    <mergeCell ref="B2:C2"/>
    <mergeCell ref="B3:C3"/>
    <mergeCell ref="B4:C4"/>
    <mergeCell ref="B5:C5"/>
    <mergeCell ref="D9:E9"/>
    <mergeCell ref="A64:B64"/>
    <mergeCell ref="D10:E10"/>
    <mergeCell ref="D11:E11"/>
    <mergeCell ref="D13:E13"/>
    <mergeCell ref="A23:I23"/>
    <mergeCell ref="A24:B24"/>
    <mergeCell ref="D14:E14"/>
    <mergeCell ref="A43:B43"/>
    <mergeCell ref="A34:I34"/>
    <mergeCell ref="A38:B38"/>
    <mergeCell ref="A40:B40"/>
    <mergeCell ref="A41:B41"/>
    <mergeCell ref="A42:B42"/>
    <mergeCell ref="A39:B39"/>
    <mergeCell ref="A36:B36"/>
    <mergeCell ref="A25:B25"/>
    <mergeCell ref="A104:H104"/>
    <mergeCell ref="A92:B92"/>
    <mergeCell ref="A79:B79"/>
    <mergeCell ref="A80:B80"/>
    <mergeCell ref="A77:B77"/>
    <mergeCell ref="A63:B63"/>
    <mergeCell ref="A86:B86"/>
    <mergeCell ref="A87:B87"/>
    <mergeCell ref="A88:B88"/>
    <mergeCell ref="A97:I97"/>
    <mergeCell ref="A37:B37"/>
    <mergeCell ref="G44:H44"/>
    <mergeCell ref="A46:I46"/>
    <mergeCell ref="A47:B47"/>
    <mergeCell ref="A48:B48"/>
    <mergeCell ref="D15:E15"/>
    <mergeCell ref="D16:E16"/>
    <mergeCell ref="D18:E18"/>
    <mergeCell ref="D19:E19"/>
    <mergeCell ref="D21:E21"/>
    <mergeCell ref="A30:B30"/>
    <mergeCell ref="A90:B90"/>
    <mergeCell ref="A71:B71"/>
    <mergeCell ref="A85:B85"/>
    <mergeCell ref="A78:B78"/>
    <mergeCell ref="A89:B89"/>
    <mergeCell ref="A82:I82"/>
    <mergeCell ref="A83:B83"/>
    <mergeCell ref="A84:B84"/>
    <mergeCell ref="G68:H68"/>
    <mergeCell ref="A58:I58"/>
    <mergeCell ref="A52:B52"/>
    <mergeCell ref="A50:B50"/>
    <mergeCell ref="A51:B51"/>
    <mergeCell ref="A53:B53"/>
    <mergeCell ref="A56:B56"/>
    <mergeCell ref="A70:I70"/>
    <mergeCell ref="A67:B67"/>
    <mergeCell ref="A100:I100"/>
    <mergeCell ref="A101:I101"/>
    <mergeCell ref="A102:I102"/>
    <mergeCell ref="A68:B68"/>
    <mergeCell ref="G67:H67"/>
    <mergeCell ref="A72:B72"/>
    <mergeCell ref="A73:B73"/>
  </mergeCells>
  <hyperlinks>
    <hyperlink ref="H5" location="INPUT!A1" display="BACK TO INPUT" xr:uid="{00000000-0004-0000-0300-000000000000}"/>
  </hyperlinks>
  <printOptions horizontalCentered="1" verticalCentered="1"/>
  <pageMargins left="0.25" right="0.25" top="0.5" bottom="0.5" header="0.3" footer="0.3"/>
  <pageSetup paperSize="195" scale="50" orientation="portrait" r:id="rId1"/>
  <headerFooter>
    <oddFooter>Page &amp;P of &amp;N</oddFooter>
  </headerFooter>
  <rowBreaks count="1" manualBreakCount="1">
    <brk id="103" max="8" man="1"/>
  </rowBreaks>
  <colBreaks count="1" manualBreakCount="1">
    <brk id="9" max="10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U106"/>
  <sheetViews>
    <sheetView zoomScale="85" zoomScaleNormal="85" workbookViewId="0">
      <selection activeCell="F28" sqref="F28"/>
    </sheetView>
  </sheetViews>
  <sheetFormatPr baseColWidth="10" defaultColWidth="0" defaultRowHeight="15" x14ac:dyDescent="0.2"/>
  <cols>
    <col min="1" max="1" width="34.1640625" style="449" bestFit="1" customWidth="1"/>
    <col min="2" max="2" width="10.33203125" style="467" bestFit="1" customWidth="1"/>
    <col min="3" max="3" width="14" style="449" bestFit="1" customWidth="1"/>
    <col min="4" max="4" width="14" style="448" bestFit="1" customWidth="1"/>
    <col min="5" max="6" width="12.1640625" style="448" bestFit="1" customWidth="1"/>
    <col min="7" max="7" width="16"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ustomWidth="1"/>
    <col min="13" max="13" width="6.1640625" style="449" hidden="1" customWidth="1"/>
    <col min="14" max="14" width="27.1640625" style="449" hidden="1" customWidth="1"/>
    <col min="15" max="18" width="22.5" style="449" hidden="1" customWidth="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B2-L10</v>
      </c>
      <c r="J1" s="450"/>
      <c r="K1" s="466">
        <f>VLOOKUP(I1,'SOLA Pricelist'!B9:P62,13,FALSE)</f>
        <v>11984000</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B2-L10</v>
      </c>
      <c r="C4" s="712"/>
      <c r="D4" s="461"/>
      <c r="E4" s="461"/>
      <c r="I4" s="450"/>
      <c r="J4" s="456" t="s">
        <v>109</v>
      </c>
      <c r="K4" s="457">
        <v>0</v>
      </c>
      <c r="L4" s="450"/>
      <c r="M4" s="453">
        <v>0.02</v>
      </c>
      <c r="S4" s="462"/>
      <c r="T4" s="463" t="s">
        <v>109</v>
      </c>
      <c r="U4" s="464">
        <v>0</v>
      </c>
    </row>
    <row r="5" spans="1:21" x14ac:dyDescent="0.2">
      <c r="A5" s="455" t="str">
        <f>INPUT!C19</f>
        <v>Lot Area (sqm.)</v>
      </c>
      <c r="B5" s="712">
        <f>INPUT!D19</f>
        <v>300</v>
      </c>
      <c r="C5" s="712"/>
      <c r="D5" s="461"/>
      <c r="E5" s="461"/>
      <c r="G5" s="449"/>
      <c r="I5" s="450"/>
      <c r="J5" s="465" t="s">
        <v>596</v>
      </c>
      <c r="K5" s="464">
        <v>300000</v>
      </c>
      <c r="L5" s="450"/>
      <c r="M5" s="453">
        <v>0.03</v>
      </c>
    </row>
    <row r="6" spans="1:21" x14ac:dyDescent="0.2">
      <c r="A6" s="455" t="str">
        <f>INPUT!C20</f>
        <v>Lot Type</v>
      </c>
      <c r="B6" s="712" t="str">
        <f>INPUT!D20</f>
        <v>Parkview</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1.25" customHeight="1" x14ac:dyDescent="0.2">
      <c r="A8" s="562" t="s">
        <v>23</v>
      </c>
      <c r="B8" s="711" t="str">
        <f>INPUT!F17</f>
        <v>50% Spot / 50% in 60 mos.  (with 8% Discount)</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11424000</v>
      </c>
      <c r="E12" s="714"/>
      <c r="I12" s="484"/>
      <c r="J12" s="450"/>
      <c r="K12" s="466"/>
      <c r="L12" s="450"/>
    </row>
    <row r="13" spans="1:21" s="485" customFormat="1" hidden="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x14ac:dyDescent="0.2">
      <c r="A15" s="454" t="s">
        <v>501</v>
      </c>
      <c r="B15" s="524"/>
      <c r="C15" s="458">
        <v>0.08</v>
      </c>
      <c r="D15" s="708">
        <f>(D12-D13-D14)*C15</f>
        <v>913920</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10510080</v>
      </c>
      <c r="E19" s="707"/>
      <c r="I19" s="498"/>
      <c r="J19" s="486"/>
      <c r="K19" s="488"/>
      <c r="L19" s="487"/>
    </row>
    <row r="20" spans="1:16" s="485" customFormat="1" x14ac:dyDescent="0.2">
      <c r="A20" s="521" t="str">
        <f>IF(INPUT!D22=INPUT!N14,"          Discounted List Price (VAT-EX)","         List Price (VAT-EX)")</f>
        <v xml:space="preserve">         List Price (VAT-EX)</v>
      </c>
      <c r="B20" s="522"/>
      <c r="D20" s="706">
        <f>D19/1.12</f>
        <v>9384000</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9384000</v>
      </c>
      <c r="E22" s="707"/>
      <c r="I22" s="499"/>
      <c r="J22" s="487"/>
      <c r="K22" s="488"/>
      <c r="L22" s="487"/>
    </row>
    <row r="23" spans="1:16" s="485" customFormat="1" x14ac:dyDescent="0.2">
      <c r="A23" s="521" t="s">
        <v>607</v>
      </c>
      <c r="B23" s="522"/>
      <c r="C23" s="531">
        <v>0.12</v>
      </c>
      <c r="D23" s="706">
        <f>D22*C23</f>
        <v>1126080</v>
      </c>
      <c r="E23" s="706"/>
      <c r="I23" s="487"/>
      <c r="J23" s="487"/>
      <c r="K23" s="488"/>
      <c r="L23" s="487"/>
    </row>
    <row r="24" spans="1:16" x14ac:dyDescent="0.2">
      <c r="A24" s="511" t="s">
        <v>608</v>
      </c>
      <c r="C24" s="532">
        <v>0.05</v>
      </c>
      <c r="D24" s="706">
        <f>D22*C24</f>
        <v>469200</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11539280</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11439280</v>
      </c>
      <c r="I29" s="706"/>
      <c r="J29" s="706"/>
      <c r="K29" s="508"/>
      <c r="L29" s="509"/>
      <c r="M29" s="510"/>
      <c r="N29" s="511"/>
      <c r="P29" s="491"/>
    </row>
    <row r="30" spans="1:16" x14ac:dyDescent="0.2">
      <c r="A30" s="455">
        <f>A29+1</f>
        <v>1</v>
      </c>
      <c r="B30" s="455" t="s">
        <v>102</v>
      </c>
      <c r="C30" s="553">
        <f>SUM(D30:F30)</f>
        <v>5669640</v>
      </c>
      <c r="D30" s="551">
        <f>(((D22+D23)*I30-D29)/J30)</f>
        <v>5180040</v>
      </c>
      <c r="E30" s="551">
        <f>((D25*I30-E29)/J30)</f>
        <v>255000</v>
      </c>
      <c r="F30" s="551">
        <f>(D24*I30)</f>
        <v>234600</v>
      </c>
      <c r="G30" s="552">
        <f>G29-C30</f>
        <v>5769640</v>
      </c>
      <c r="H30" s="512"/>
      <c r="I30" s="513">
        <v>0.5</v>
      </c>
      <c r="J30" s="450">
        <v>1</v>
      </c>
      <c r="K30" s="510"/>
      <c r="L30" s="510"/>
      <c r="M30" s="510"/>
      <c r="O30" s="502"/>
      <c r="P30" s="496"/>
    </row>
    <row r="31" spans="1:16" s="514" customFormat="1" x14ac:dyDescent="0.2">
      <c r="A31" s="455">
        <f t="shared" ref="A31:A90" si="0">A30+1</f>
        <v>2</v>
      </c>
      <c r="B31" s="455" t="s">
        <v>30</v>
      </c>
      <c r="C31" s="553">
        <f t="shared" ref="C31:C90" si="1">SUM(D31:F31)</f>
        <v>96160.666666666672</v>
      </c>
      <c r="D31" s="551">
        <f>((D26-(D24+D25))*I31/J31)</f>
        <v>87584</v>
      </c>
      <c r="E31" s="551">
        <f>((D25*I31)/J31)</f>
        <v>4666.666666666667</v>
      </c>
      <c r="F31" s="551">
        <f>(D24*I31)/J31</f>
        <v>3910</v>
      </c>
      <c r="G31" s="552">
        <f t="shared" ref="G31:G90" si="2">G30-C31</f>
        <v>5673479.333333333</v>
      </c>
      <c r="I31" s="513">
        <f>100%-I30</f>
        <v>0.5</v>
      </c>
      <c r="J31" s="450">
        <v>60</v>
      </c>
      <c r="K31" s="515"/>
      <c r="L31" s="516"/>
      <c r="M31" s="517"/>
      <c r="O31" s="518"/>
    </row>
    <row r="32" spans="1:16" x14ac:dyDescent="0.2">
      <c r="A32" s="455">
        <f t="shared" si="0"/>
        <v>3</v>
      </c>
      <c r="B32" s="455" t="s">
        <v>31</v>
      </c>
      <c r="C32" s="553">
        <f t="shared" si="1"/>
        <v>96160.666666666672</v>
      </c>
      <c r="D32" s="551">
        <f>D31</f>
        <v>87584</v>
      </c>
      <c r="E32" s="551">
        <f>E31</f>
        <v>4666.666666666667</v>
      </c>
      <c r="F32" s="551">
        <f>F31</f>
        <v>3910</v>
      </c>
      <c r="G32" s="552">
        <f t="shared" si="2"/>
        <v>5577318.666666666</v>
      </c>
      <c r="I32" s="519"/>
    </row>
    <row r="33" spans="1:7" x14ac:dyDescent="0.2">
      <c r="A33" s="455">
        <f t="shared" si="0"/>
        <v>4</v>
      </c>
      <c r="B33" s="455" t="s">
        <v>32</v>
      </c>
      <c r="C33" s="553">
        <f t="shared" si="1"/>
        <v>96160.666666666672</v>
      </c>
      <c r="D33" s="551">
        <f>D32</f>
        <v>87584</v>
      </c>
      <c r="E33" s="551">
        <f>E32</f>
        <v>4666.666666666667</v>
      </c>
      <c r="F33" s="551">
        <f t="shared" ref="F33:F90" si="3">F32</f>
        <v>3910</v>
      </c>
      <c r="G33" s="552">
        <f t="shared" si="2"/>
        <v>5481157.9999999991</v>
      </c>
    </row>
    <row r="34" spans="1:7" x14ac:dyDescent="0.2">
      <c r="A34" s="455">
        <f t="shared" si="0"/>
        <v>5</v>
      </c>
      <c r="B34" s="455" t="s">
        <v>33</v>
      </c>
      <c r="C34" s="553">
        <f t="shared" si="1"/>
        <v>96160.666666666672</v>
      </c>
      <c r="D34" s="551">
        <f t="shared" ref="D34:E49" si="4">D33</f>
        <v>87584</v>
      </c>
      <c r="E34" s="551">
        <f t="shared" si="4"/>
        <v>4666.666666666667</v>
      </c>
      <c r="F34" s="551">
        <f t="shared" si="3"/>
        <v>3910</v>
      </c>
      <c r="G34" s="552">
        <f t="shared" si="2"/>
        <v>5384997.3333333321</v>
      </c>
    </row>
    <row r="35" spans="1:7" x14ac:dyDescent="0.2">
      <c r="A35" s="455">
        <f t="shared" si="0"/>
        <v>6</v>
      </c>
      <c r="B35" s="455" t="s">
        <v>34</v>
      </c>
      <c r="C35" s="553">
        <f t="shared" si="1"/>
        <v>96160.666666666672</v>
      </c>
      <c r="D35" s="551">
        <f t="shared" si="4"/>
        <v>87584</v>
      </c>
      <c r="E35" s="551">
        <f t="shared" si="4"/>
        <v>4666.666666666667</v>
      </c>
      <c r="F35" s="551">
        <f t="shared" si="3"/>
        <v>3910</v>
      </c>
      <c r="G35" s="552">
        <f t="shared" si="2"/>
        <v>5288836.6666666651</v>
      </c>
    </row>
    <row r="36" spans="1:7" x14ac:dyDescent="0.2">
      <c r="A36" s="455">
        <f t="shared" si="0"/>
        <v>7</v>
      </c>
      <c r="B36" s="455" t="s">
        <v>35</v>
      </c>
      <c r="C36" s="553">
        <f t="shared" si="1"/>
        <v>96160.666666666672</v>
      </c>
      <c r="D36" s="551">
        <f t="shared" si="4"/>
        <v>87584</v>
      </c>
      <c r="E36" s="551">
        <f t="shared" si="4"/>
        <v>4666.666666666667</v>
      </c>
      <c r="F36" s="551">
        <f t="shared" si="3"/>
        <v>3910</v>
      </c>
      <c r="G36" s="552">
        <f t="shared" si="2"/>
        <v>5192675.9999999981</v>
      </c>
    </row>
    <row r="37" spans="1:7" x14ac:dyDescent="0.2">
      <c r="A37" s="455">
        <f t="shared" si="0"/>
        <v>8</v>
      </c>
      <c r="B37" s="455" t="s">
        <v>36</v>
      </c>
      <c r="C37" s="553">
        <f t="shared" si="1"/>
        <v>96160.666666666672</v>
      </c>
      <c r="D37" s="551">
        <f t="shared" si="4"/>
        <v>87584</v>
      </c>
      <c r="E37" s="551">
        <f t="shared" si="4"/>
        <v>4666.666666666667</v>
      </c>
      <c r="F37" s="551">
        <f t="shared" si="3"/>
        <v>3910</v>
      </c>
      <c r="G37" s="552">
        <f t="shared" si="2"/>
        <v>5096515.3333333312</v>
      </c>
    </row>
    <row r="38" spans="1:7" x14ac:dyDescent="0.2">
      <c r="A38" s="455">
        <f t="shared" si="0"/>
        <v>9</v>
      </c>
      <c r="B38" s="455" t="s">
        <v>37</v>
      </c>
      <c r="C38" s="553">
        <f t="shared" si="1"/>
        <v>96160.666666666672</v>
      </c>
      <c r="D38" s="551">
        <f t="shared" si="4"/>
        <v>87584</v>
      </c>
      <c r="E38" s="551">
        <f t="shared" si="4"/>
        <v>4666.666666666667</v>
      </c>
      <c r="F38" s="551">
        <f t="shared" si="3"/>
        <v>3910</v>
      </c>
      <c r="G38" s="552">
        <f t="shared" si="2"/>
        <v>5000354.6666666642</v>
      </c>
    </row>
    <row r="39" spans="1:7" x14ac:dyDescent="0.2">
      <c r="A39" s="455">
        <f t="shared" si="0"/>
        <v>10</v>
      </c>
      <c r="B39" s="455" t="s">
        <v>38</v>
      </c>
      <c r="C39" s="553">
        <f t="shared" si="1"/>
        <v>96160.666666666672</v>
      </c>
      <c r="D39" s="551">
        <f t="shared" si="4"/>
        <v>87584</v>
      </c>
      <c r="E39" s="551">
        <f t="shared" si="4"/>
        <v>4666.666666666667</v>
      </c>
      <c r="F39" s="551">
        <f t="shared" si="3"/>
        <v>3910</v>
      </c>
      <c r="G39" s="552">
        <f t="shared" si="2"/>
        <v>4904193.9999999972</v>
      </c>
    </row>
    <row r="40" spans="1:7" x14ac:dyDescent="0.2">
      <c r="A40" s="455">
        <f t="shared" si="0"/>
        <v>11</v>
      </c>
      <c r="B40" s="455" t="s">
        <v>39</v>
      </c>
      <c r="C40" s="553">
        <f t="shared" si="1"/>
        <v>96160.666666666672</v>
      </c>
      <c r="D40" s="551">
        <f t="shared" si="4"/>
        <v>87584</v>
      </c>
      <c r="E40" s="551">
        <f t="shared" si="4"/>
        <v>4666.666666666667</v>
      </c>
      <c r="F40" s="551">
        <f t="shared" si="3"/>
        <v>3910</v>
      </c>
      <c r="G40" s="552">
        <f t="shared" si="2"/>
        <v>4808033.3333333302</v>
      </c>
    </row>
    <row r="41" spans="1:7" x14ac:dyDescent="0.2">
      <c r="A41" s="455">
        <f t="shared" si="0"/>
        <v>12</v>
      </c>
      <c r="B41" s="455" t="s">
        <v>40</v>
      </c>
      <c r="C41" s="553">
        <f t="shared" si="1"/>
        <v>96160.666666666672</v>
      </c>
      <c r="D41" s="551">
        <f t="shared" si="4"/>
        <v>87584</v>
      </c>
      <c r="E41" s="551">
        <f t="shared" si="4"/>
        <v>4666.666666666667</v>
      </c>
      <c r="F41" s="551">
        <f t="shared" si="3"/>
        <v>3910</v>
      </c>
      <c r="G41" s="552">
        <f t="shared" si="2"/>
        <v>4711872.6666666633</v>
      </c>
    </row>
    <row r="42" spans="1:7" x14ac:dyDescent="0.2">
      <c r="A42" s="455">
        <f t="shared" si="0"/>
        <v>13</v>
      </c>
      <c r="B42" s="455" t="s">
        <v>41</v>
      </c>
      <c r="C42" s="553">
        <f t="shared" si="1"/>
        <v>96160.666666666672</v>
      </c>
      <c r="D42" s="551">
        <f t="shared" si="4"/>
        <v>87584</v>
      </c>
      <c r="E42" s="551">
        <f t="shared" si="4"/>
        <v>4666.666666666667</v>
      </c>
      <c r="F42" s="551">
        <f t="shared" si="3"/>
        <v>3910</v>
      </c>
      <c r="G42" s="552">
        <f t="shared" si="2"/>
        <v>4615711.9999999963</v>
      </c>
    </row>
    <row r="43" spans="1:7" x14ac:dyDescent="0.2">
      <c r="A43" s="455">
        <f t="shared" si="0"/>
        <v>14</v>
      </c>
      <c r="B43" s="455" t="s">
        <v>42</v>
      </c>
      <c r="C43" s="553">
        <f t="shared" si="1"/>
        <v>96160.666666666672</v>
      </c>
      <c r="D43" s="551">
        <f t="shared" si="4"/>
        <v>87584</v>
      </c>
      <c r="E43" s="551">
        <f t="shared" si="4"/>
        <v>4666.666666666667</v>
      </c>
      <c r="F43" s="551">
        <f t="shared" si="3"/>
        <v>3910</v>
      </c>
      <c r="G43" s="552">
        <f t="shared" si="2"/>
        <v>4519551.3333333293</v>
      </c>
    </row>
    <row r="44" spans="1:7" x14ac:dyDescent="0.2">
      <c r="A44" s="455">
        <f t="shared" si="0"/>
        <v>15</v>
      </c>
      <c r="B44" s="455" t="s">
        <v>43</v>
      </c>
      <c r="C44" s="553">
        <f t="shared" si="1"/>
        <v>96160.666666666672</v>
      </c>
      <c r="D44" s="551">
        <f t="shared" si="4"/>
        <v>87584</v>
      </c>
      <c r="E44" s="551">
        <f t="shared" si="4"/>
        <v>4666.666666666667</v>
      </c>
      <c r="F44" s="551">
        <f t="shared" si="3"/>
        <v>3910</v>
      </c>
      <c r="G44" s="552">
        <f t="shared" si="2"/>
        <v>4423390.6666666623</v>
      </c>
    </row>
    <row r="45" spans="1:7" x14ac:dyDescent="0.2">
      <c r="A45" s="455">
        <f t="shared" si="0"/>
        <v>16</v>
      </c>
      <c r="B45" s="455" t="s">
        <v>44</v>
      </c>
      <c r="C45" s="553">
        <f t="shared" si="1"/>
        <v>96160.666666666672</v>
      </c>
      <c r="D45" s="551">
        <f t="shared" si="4"/>
        <v>87584</v>
      </c>
      <c r="E45" s="551">
        <f t="shared" si="4"/>
        <v>4666.666666666667</v>
      </c>
      <c r="F45" s="551">
        <f t="shared" si="3"/>
        <v>3910</v>
      </c>
      <c r="G45" s="552">
        <f t="shared" si="2"/>
        <v>4327229.9999999953</v>
      </c>
    </row>
    <row r="46" spans="1:7" x14ac:dyDescent="0.2">
      <c r="A46" s="455">
        <f t="shared" si="0"/>
        <v>17</v>
      </c>
      <c r="B46" s="455" t="s">
        <v>45</v>
      </c>
      <c r="C46" s="553">
        <f t="shared" si="1"/>
        <v>96160.666666666672</v>
      </c>
      <c r="D46" s="551">
        <f t="shared" si="4"/>
        <v>87584</v>
      </c>
      <c r="E46" s="551">
        <f t="shared" si="4"/>
        <v>4666.666666666667</v>
      </c>
      <c r="F46" s="551">
        <f t="shared" si="3"/>
        <v>3910</v>
      </c>
      <c r="G46" s="552">
        <f t="shared" si="2"/>
        <v>4231069.3333333284</v>
      </c>
    </row>
    <row r="47" spans="1:7" x14ac:dyDescent="0.2">
      <c r="A47" s="455">
        <f t="shared" si="0"/>
        <v>18</v>
      </c>
      <c r="B47" s="455" t="s">
        <v>46</v>
      </c>
      <c r="C47" s="553">
        <f t="shared" si="1"/>
        <v>96160.666666666672</v>
      </c>
      <c r="D47" s="551">
        <f t="shared" si="4"/>
        <v>87584</v>
      </c>
      <c r="E47" s="551">
        <f t="shared" si="4"/>
        <v>4666.666666666667</v>
      </c>
      <c r="F47" s="551">
        <f t="shared" si="3"/>
        <v>3910</v>
      </c>
      <c r="G47" s="552">
        <f t="shared" si="2"/>
        <v>4134908.6666666619</v>
      </c>
    </row>
    <row r="48" spans="1:7" x14ac:dyDescent="0.2">
      <c r="A48" s="455">
        <f t="shared" si="0"/>
        <v>19</v>
      </c>
      <c r="B48" s="455" t="s">
        <v>47</v>
      </c>
      <c r="C48" s="553">
        <f t="shared" si="1"/>
        <v>96160.666666666672</v>
      </c>
      <c r="D48" s="551">
        <f t="shared" si="4"/>
        <v>87584</v>
      </c>
      <c r="E48" s="551">
        <f t="shared" si="4"/>
        <v>4666.666666666667</v>
      </c>
      <c r="F48" s="551">
        <f t="shared" si="3"/>
        <v>3910</v>
      </c>
      <c r="G48" s="552">
        <f t="shared" si="2"/>
        <v>4038747.9999999953</v>
      </c>
    </row>
    <row r="49" spans="1:7" x14ac:dyDescent="0.2">
      <c r="A49" s="455">
        <f t="shared" si="0"/>
        <v>20</v>
      </c>
      <c r="B49" s="455" t="s">
        <v>48</v>
      </c>
      <c r="C49" s="553">
        <f t="shared" si="1"/>
        <v>96160.666666666672</v>
      </c>
      <c r="D49" s="551">
        <f t="shared" si="4"/>
        <v>87584</v>
      </c>
      <c r="E49" s="551">
        <f t="shared" si="4"/>
        <v>4666.666666666667</v>
      </c>
      <c r="F49" s="551">
        <f t="shared" si="3"/>
        <v>3910</v>
      </c>
      <c r="G49" s="552">
        <f t="shared" si="2"/>
        <v>3942587.3333333288</v>
      </c>
    </row>
    <row r="50" spans="1:7" x14ac:dyDescent="0.2">
      <c r="A50" s="455">
        <f t="shared" si="0"/>
        <v>21</v>
      </c>
      <c r="B50" s="455" t="s">
        <v>49</v>
      </c>
      <c r="C50" s="553">
        <f t="shared" si="1"/>
        <v>96160.666666666672</v>
      </c>
      <c r="D50" s="551">
        <f t="shared" ref="D50:E65" si="5">D49</f>
        <v>87584</v>
      </c>
      <c r="E50" s="551">
        <f t="shared" si="5"/>
        <v>4666.666666666667</v>
      </c>
      <c r="F50" s="551">
        <f t="shared" si="3"/>
        <v>3910</v>
      </c>
      <c r="G50" s="552">
        <f t="shared" si="2"/>
        <v>3846426.6666666623</v>
      </c>
    </row>
    <row r="51" spans="1:7" x14ac:dyDescent="0.2">
      <c r="A51" s="455">
        <f t="shared" si="0"/>
        <v>22</v>
      </c>
      <c r="B51" s="455" t="s">
        <v>50</v>
      </c>
      <c r="C51" s="553">
        <f t="shared" si="1"/>
        <v>96160.666666666672</v>
      </c>
      <c r="D51" s="551">
        <f t="shared" si="5"/>
        <v>87584</v>
      </c>
      <c r="E51" s="551">
        <f t="shared" si="5"/>
        <v>4666.666666666667</v>
      </c>
      <c r="F51" s="551">
        <f t="shared" si="3"/>
        <v>3910</v>
      </c>
      <c r="G51" s="552">
        <f t="shared" si="2"/>
        <v>3750265.9999999958</v>
      </c>
    </row>
    <row r="52" spans="1:7" x14ac:dyDescent="0.2">
      <c r="A52" s="455">
        <f t="shared" si="0"/>
        <v>23</v>
      </c>
      <c r="B52" s="455" t="s">
        <v>51</v>
      </c>
      <c r="C52" s="553">
        <f t="shared" si="1"/>
        <v>96160.666666666672</v>
      </c>
      <c r="D52" s="551">
        <f t="shared" si="5"/>
        <v>87584</v>
      </c>
      <c r="E52" s="551">
        <f t="shared" si="5"/>
        <v>4666.666666666667</v>
      </c>
      <c r="F52" s="551">
        <f t="shared" si="3"/>
        <v>3910</v>
      </c>
      <c r="G52" s="552">
        <f t="shared" si="2"/>
        <v>3654105.3333333293</v>
      </c>
    </row>
    <row r="53" spans="1:7" x14ac:dyDescent="0.2">
      <c r="A53" s="455">
        <f t="shared" si="0"/>
        <v>24</v>
      </c>
      <c r="B53" s="455" t="s">
        <v>52</v>
      </c>
      <c r="C53" s="553">
        <f t="shared" si="1"/>
        <v>96160.666666666672</v>
      </c>
      <c r="D53" s="551">
        <f t="shared" si="5"/>
        <v>87584</v>
      </c>
      <c r="E53" s="551">
        <f t="shared" si="5"/>
        <v>4666.666666666667</v>
      </c>
      <c r="F53" s="551">
        <f t="shared" si="3"/>
        <v>3910</v>
      </c>
      <c r="G53" s="552">
        <f t="shared" si="2"/>
        <v>3557944.6666666628</v>
      </c>
    </row>
    <row r="54" spans="1:7" x14ac:dyDescent="0.2">
      <c r="A54" s="455">
        <f t="shared" si="0"/>
        <v>25</v>
      </c>
      <c r="B54" s="455" t="s">
        <v>53</v>
      </c>
      <c r="C54" s="553">
        <f t="shared" si="1"/>
        <v>96160.666666666672</v>
      </c>
      <c r="D54" s="551">
        <f t="shared" si="5"/>
        <v>87584</v>
      </c>
      <c r="E54" s="551">
        <f t="shared" si="5"/>
        <v>4666.666666666667</v>
      </c>
      <c r="F54" s="551">
        <f t="shared" si="3"/>
        <v>3910</v>
      </c>
      <c r="G54" s="552">
        <f t="shared" si="2"/>
        <v>3461783.9999999963</v>
      </c>
    </row>
    <row r="55" spans="1:7" x14ac:dyDescent="0.2">
      <c r="A55" s="455">
        <f t="shared" si="0"/>
        <v>26</v>
      </c>
      <c r="B55" s="455" t="s">
        <v>54</v>
      </c>
      <c r="C55" s="553">
        <f t="shared" si="1"/>
        <v>96160.666666666672</v>
      </c>
      <c r="D55" s="551">
        <f t="shared" si="5"/>
        <v>87584</v>
      </c>
      <c r="E55" s="551">
        <f t="shared" si="5"/>
        <v>4666.666666666667</v>
      </c>
      <c r="F55" s="551">
        <f t="shared" si="3"/>
        <v>3910</v>
      </c>
      <c r="G55" s="552">
        <f t="shared" si="2"/>
        <v>3365623.3333333298</v>
      </c>
    </row>
    <row r="56" spans="1:7" x14ac:dyDescent="0.2">
      <c r="A56" s="455">
        <f t="shared" si="0"/>
        <v>27</v>
      </c>
      <c r="B56" s="455" t="s">
        <v>55</v>
      </c>
      <c r="C56" s="553">
        <f t="shared" si="1"/>
        <v>96160.666666666672</v>
      </c>
      <c r="D56" s="551">
        <f t="shared" si="5"/>
        <v>87584</v>
      </c>
      <c r="E56" s="551">
        <f t="shared" si="5"/>
        <v>4666.666666666667</v>
      </c>
      <c r="F56" s="551">
        <f t="shared" si="3"/>
        <v>3910</v>
      </c>
      <c r="G56" s="552">
        <f t="shared" si="2"/>
        <v>3269462.6666666633</v>
      </c>
    </row>
    <row r="57" spans="1:7" x14ac:dyDescent="0.2">
      <c r="A57" s="455">
        <f t="shared" si="0"/>
        <v>28</v>
      </c>
      <c r="B57" s="455" t="s">
        <v>56</v>
      </c>
      <c r="C57" s="553">
        <f t="shared" si="1"/>
        <v>96160.666666666672</v>
      </c>
      <c r="D57" s="551">
        <f t="shared" si="5"/>
        <v>87584</v>
      </c>
      <c r="E57" s="551">
        <f t="shared" si="5"/>
        <v>4666.666666666667</v>
      </c>
      <c r="F57" s="551">
        <f t="shared" si="3"/>
        <v>3910</v>
      </c>
      <c r="G57" s="552">
        <f t="shared" si="2"/>
        <v>3173301.9999999967</v>
      </c>
    </row>
    <row r="58" spans="1:7" x14ac:dyDescent="0.2">
      <c r="A58" s="455">
        <f t="shared" si="0"/>
        <v>29</v>
      </c>
      <c r="B58" s="455" t="s">
        <v>57</v>
      </c>
      <c r="C58" s="553">
        <f t="shared" si="1"/>
        <v>96160.666666666672</v>
      </c>
      <c r="D58" s="551">
        <f t="shared" si="5"/>
        <v>87584</v>
      </c>
      <c r="E58" s="551">
        <f t="shared" si="5"/>
        <v>4666.666666666667</v>
      </c>
      <c r="F58" s="551">
        <f t="shared" si="3"/>
        <v>3910</v>
      </c>
      <c r="G58" s="552">
        <f t="shared" si="2"/>
        <v>3077141.3333333302</v>
      </c>
    </row>
    <row r="59" spans="1:7" x14ac:dyDescent="0.2">
      <c r="A59" s="455">
        <f t="shared" si="0"/>
        <v>30</v>
      </c>
      <c r="B59" s="455" t="s">
        <v>58</v>
      </c>
      <c r="C59" s="553">
        <f t="shared" si="1"/>
        <v>96160.666666666672</v>
      </c>
      <c r="D59" s="551">
        <f t="shared" si="5"/>
        <v>87584</v>
      </c>
      <c r="E59" s="551">
        <f t="shared" si="5"/>
        <v>4666.666666666667</v>
      </c>
      <c r="F59" s="551">
        <f t="shared" si="3"/>
        <v>3910</v>
      </c>
      <c r="G59" s="552">
        <f t="shared" si="2"/>
        <v>2980980.6666666637</v>
      </c>
    </row>
    <row r="60" spans="1:7" x14ac:dyDescent="0.2">
      <c r="A60" s="455">
        <f t="shared" si="0"/>
        <v>31</v>
      </c>
      <c r="B60" s="455" t="s">
        <v>59</v>
      </c>
      <c r="C60" s="553">
        <f t="shared" si="1"/>
        <v>96160.666666666672</v>
      </c>
      <c r="D60" s="551">
        <f t="shared" si="5"/>
        <v>87584</v>
      </c>
      <c r="E60" s="551">
        <f t="shared" si="5"/>
        <v>4666.666666666667</v>
      </c>
      <c r="F60" s="551">
        <f t="shared" si="3"/>
        <v>3910</v>
      </c>
      <c r="G60" s="552">
        <f t="shared" si="2"/>
        <v>2884819.9999999972</v>
      </c>
    </row>
    <row r="61" spans="1:7" x14ac:dyDescent="0.2">
      <c r="A61" s="455">
        <f t="shared" si="0"/>
        <v>32</v>
      </c>
      <c r="B61" s="455" t="s">
        <v>60</v>
      </c>
      <c r="C61" s="553">
        <f t="shared" si="1"/>
        <v>96160.666666666672</v>
      </c>
      <c r="D61" s="551">
        <f t="shared" si="5"/>
        <v>87584</v>
      </c>
      <c r="E61" s="551">
        <f t="shared" si="5"/>
        <v>4666.666666666667</v>
      </c>
      <c r="F61" s="551">
        <f t="shared" si="3"/>
        <v>3910</v>
      </c>
      <c r="G61" s="552">
        <f t="shared" si="2"/>
        <v>2788659.3333333307</v>
      </c>
    </row>
    <row r="62" spans="1:7" x14ac:dyDescent="0.2">
      <c r="A62" s="455">
        <f t="shared" si="0"/>
        <v>33</v>
      </c>
      <c r="B62" s="455" t="s">
        <v>61</v>
      </c>
      <c r="C62" s="553">
        <f t="shared" si="1"/>
        <v>96160.666666666672</v>
      </c>
      <c r="D62" s="551">
        <f t="shared" si="5"/>
        <v>87584</v>
      </c>
      <c r="E62" s="551">
        <f t="shared" si="5"/>
        <v>4666.666666666667</v>
      </c>
      <c r="F62" s="551">
        <f t="shared" si="3"/>
        <v>3910</v>
      </c>
      <c r="G62" s="552">
        <f t="shared" si="2"/>
        <v>2692498.6666666642</v>
      </c>
    </row>
    <row r="63" spans="1:7" x14ac:dyDescent="0.2">
      <c r="A63" s="455">
        <f t="shared" si="0"/>
        <v>34</v>
      </c>
      <c r="B63" s="455" t="s">
        <v>62</v>
      </c>
      <c r="C63" s="553">
        <f t="shared" si="1"/>
        <v>96160.666666666672</v>
      </c>
      <c r="D63" s="551">
        <f t="shared" si="5"/>
        <v>87584</v>
      </c>
      <c r="E63" s="551">
        <f t="shared" si="5"/>
        <v>4666.666666666667</v>
      </c>
      <c r="F63" s="551">
        <f t="shared" si="3"/>
        <v>3910</v>
      </c>
      <c r="G63" s="552">
        <f t="shared" si="2"/>
        <v>2596337.9999999977</v>
      </c>
    </row>
    <row r="64" spans="1:7" x14ac:dyDescent="0.2">
      <c r="A64" s="455">
        <f t="shared" si="0"/>
        <v>35</v>
      </c>
      <c r="B64" s="455" t="s">
        <v>63</v>
      </c>
      <c r="C64" s="553">
        <f t="shared" si="1"/>
        <v>96160.666666666672</v>
      </c>
      <c r="D64" s="551">
        <f t="shared" si="5"/>
        <v>87584</v>
      </c>
      <c r="E64" s="551">
        <f t="shared" si="5"/>
        <v>4666.666666666667</v>
      </c>
      <c r="F64" s="551">
        <f t="shared" si="3"/>
        <v>3910</v>
      </c>
      <c r="G64" s="552">
        <f t="shared" si="2"/>
        <v>2500177.3333333312</v>
      </c>
    </row>
    <row r="65" spans="1:7" x14ac:dyDescent="0.2">
      <c r="A65" s="455">
        <f t="shared" si="0"/>
        <v>36</v>
      </c>
      <c r="B65" s="455" t="s">
        <v>64</v>
      </c>
      <c r="C65" s="553">
        <f t="shared" si="1"/>
        <v>96160.666666666672</v>
      </c>
      <c r="D65" s="551">
        <f t="shared" si="5"/>
        <v>87584</v>
      </c>
      <c r="E65" s="551">
        <f t="shared" si="5"/>
        <v>4666.666666666667</v>
      </c>
      <c r="F65" s="551">
        <f t="shared" si="3"/>
        <v>3910</v>
      </c>
      <c r="G65" s="552">
        <f t="shared" si="2"/>
        <v>2404016.6666666646</v>
      </c>
    </row>
    <row r="66" spans="1:7" x14ac:dyDescent="0.2">
      <c r="A66" s="455">
        <f t="shared" si="0"/>
        <v>37</v>
      </c>
      <c r="B66" s="455" t="s">
        <v>65</v>
      </c>
      <c r="C66" s="553">
        <f t="shared" si="1"/>
        <v>96160.666666666672</v>
      </c>
      <c r="D66" s="551">
        <f t="shared" ref="D66:E81" si="6">D65</f>
        <v>87584</v>
      </c>
      <c r="E66" s="551">
        <f t="shared" si="6"/>
        <v>4666.666666666667</v>
      </c>
      <c r="F66" s="551">
        <f t="shared" si="3"/>
        <v>3910</v>
      </c>
      <c r="G66" s="552">
        <f t="shared" si="2"/>
        <v>2307855.9999999981</v>
      </c>
    </row>
    <row r="67" spans="1:7" x14ac:dyDescent="0.2">
      <c r="A67" s="455">
        <f t="shared" si="0"/>
        <v>38</v>
      </c>
      <c r="B67" s="455" t="s">
        <v>66</v>
      </c>
      <c r="C67" s="553">
        <f t="shared" si="1"/>
        <v>96160.666666666672</v>
      </c>
      <c r="D67" s="551">
        <f t="shared" si="6"/>
        <v>87584</v>
      </c>
      <c r="E67" s="551">
        <f t="shared" si="6"/>
        <v>4666.666666666667</v>
      </c>
      <c r="F67" s="551">
        <f t="shared" si="3"/>
        <v>3910</v>
      </c>
      <c r="G67" s="552">
        <f t="shared" si="2"/>
        <v>2211695.3333333316</v>
      </c>
    </row>
    <row r="68" spans="1:7" x14ac:dyDescent="0.2">
      <c r="A68" s="455">
        <f t="shared" si="0"/>
        <v>39</v>
      </c>
      <c r="B68" s="455" t="s">
        <v>67</v>
      </c>
      <c r="C68" s="553">
        <f t="shared" si="1"/>
        <v>96160.666666666672</v>
      </c>
      <c r="D68" s="551">
        <f t="shared" si="6"/>
        <v>87584</v>
      </c>
      <c r="E68" s="551">
        <f t="shared" si="6"/>
        <v>4666.666666666667</v>
      </c>
      <c r="F68" s="551">
        <f t="shared" si="3"/>
        <v>3910</v>
      </c>
      <c r="G68" s="552">
        <f t="shared" si="2"/>
        <v>2115534.6666666651</v>
      </c>
    </row>
    <row r="69" spans="1:7" x14ac:dyDescent="0.2">
      <c r="A69" s="455">
        <f t="shared" si="0"/>
        <v>40</v>
      </c>
      <c r="B69" s="455" t="s">
        <v>68</v>
      </c>
      <c r="C69" s="553">
        <f t="shared" si="1"/>
        <v>96160.666666666672</v>
      </c>
      <c r="D69" s="551">
        <f t="shared" si="6"/>
        <v>87584</v>
      </c>
      <c r="E69" s="551">
        <f t="shared" si="6"/>
        <v>4666.666666666667</v>
      </c>
      <c r="F69" s="551">
        <f t="shared" si="3"/>
        <v>3910</v>
      </c>
      <c r="G69" s="552">
        <f t="shared" si="2"/>
        <v>2019373.9999999984</v>
      </c>
    </row>
    <row r="70" spans="1:7" x14ac:dyDescent="0.2">
      <c r="A70" s="455">
        <f t="shared" si="0"/>
        <v>41</v>
      </c>
      <c r="B70" s="455" t="s">
        <v>69</v>
      </c>
      <c r="C70" s="553">
        <f t="shared" si="1"/>
        <v>96160.666666666672</v>
      </c>
      <c r="D70" s="551">
        <f t="shared" si="6"/>
        <v>87584</v>
      </c>
      <c r="E70" s="551">
        <f t="shared" si="6"/>
        <v>4666.666666666667</v>
      </c>
      <c r="F70" s="551">
        <f t="shared" si="3"/>
        <v>3910</v>
      </c>
      <c r="G70" s="552">
        <f t="shared" si="2"/>
        <v>1923213.3333333316</v>
      </c>
    </row>
    <row r="71" spans="1:7" x14ac:dyDescent="0.2">
      <c r="A71" s="455">
        <f t="shared" si="0"/>
        <v>42</v>
      </c>
      <c r="B71" s="455" t="s">
        <v>70</v>
      </c>
      <c r="C71" s="553">
        <f t="shared" si="1"/>
        <v>96160.666666666672</v>
      </c>
      <c r="D71" s="551">
        <f t="shared" si="6"/>
        <v>87584</v>
      </c>
      <c r="E71" s="551">
        <f t="shared" si="6"/>
        <v>4666.666666666667</v>
      </c>
      <c r="F71" s="551">
        <f t="shared" si="3"/>
        <v>3910</v>
      </c>
      <c r="G71" s="552">
        <f t="shared" si="2"/>
        <v>1827052.6666666649</v>
      </c>
    </row>
    <row r="72" spans="1:7" x14ac:dyDescent="0.2">
      <c r="A72" s="455">
        <f t="shared" si="0"/>
        <v>43</v>
      </c>
      <c r="B72" s="455" t="s">
        <v>71</v>
      </c>
      <c r="C72" s="553">
        <f t="shared" si="1"/>
        <v>96160.666666666672</v>
      </c>
      <c r="D72" s="551">
        <f t="shared" si="6"/>
        <v>87584</v>
      </c>
      <c r="E72" s="551">
        <f t="shared" si="6"/>
        <v>4666.666666666667</v>
      </c>
      <c r="F72" s="551">
        <f t="shared" si="3"/>
        <v>3910</v>
      </c>
      <c r="G72" s="552">
        <f t="shared" si="2"/>
        <v>1730891.9999999981</v>
      </c>
    </row>
    <row r="73" spans="1:7" x14ac:dyDescent="0.2">
      <c r="A73" s="455">
        <f t="shared" si="0"/>
        <v>44</v>
      </c>
      <c r="B73" s="455" t="s">
        <v>72</v>
      </c>
      <c r="C73" s="553">
        <f t="shared" si="1"/>
        <v>96160.666666666672</v>
      </c>
      <c r="D73" s="551">
        <f t="shared" si="6"/>
        <v>87584</v>
      </c>
      <c r="E73" s="551">
        <f t="shared" si="6"/>
        <v>4666.666666666667</v>
      </c>
      <c r="F73" s="551">
        <f t="shared" si="3"/>
        <v>3910</v>
      </c>
      <c r="G73" s="552">
        <f t="shared" si="2"/>
        <v>1634731.3333333314</v>
      </c>
    </row>
    <row r="74" spans="1:7" x14ac:dyDescent="0.2">
      <c r="A74" s="455">
        <f t="shared" si="0"/>
        <v>45</v>
      </c>
      <c r="B74" s="455" t="s">
        <v>73</v>
      </c>
      <c r="C74" s="553">
        <f t="shared" si="1"/>
        <v>96160.666666666672</v>
      </c>
      <c r="D74" s="551">
        <f t="shared" si="6"/>
        <v>87584</v>
      </c>
      <c r="E74" s="551">
        <f t="shared" si="6"/>
        <v>4666.666666666667</v>
      </c>
      <c r="F74" s="551">
        <f t="shared" si="3"/>
        <v>3910</v>
      </c>
      <c r="G74" s="552">
        <f t="shared" si="2"/>
        <v>1538570.6666666646</v>
      </c>
    </row>
    <row r="75" spans="1:7" x14ac:dyDescent="0.2">
      <c r="A75" s="455">
        <f t="shared" si="0"/>
        <v>46</v>
      </c>
      <c r="B75" s="455" t="s">
        <v>74</v>
      </c>
      <c r="C75" s="553">
        <f t="shared" si="1"/>
        <v>96160.666666666672</v>
      </c>
      <c r="D75" s="551">
        <f t="shared" si="6"/>
        <v>87584</v>
      </c>
      <c r="E75" s="551">
        <f t="shared" si="6"/>
        <v>4666.666666666667</v>
      </c>
      <c r="F75" s="551">
        <f t="shared" si="3"/>
        <v>3910</v>
      </c>
      <c r="G75" s="552">
        <f t="shared" si="2"/>
        <v>1442409.9999999979</v>
      </c>
    </row>
    <row r="76" spans="1:7" x14ac:dyDescent="0.2">
      <c r="A76" s="455">
        <f t="shared" si="0"/>
        <v>47</v>
      </c>
      <c r="B76" s="455" t="s">
        <v>75</v>
      </c>
      <c r="C76" s="553">
        <f t="shared" si="1"/>
        <v>96160.666666666672</v>
      </c>
      <c r="D76" s="551">
        <f t="shared" si="6"/>
        <v>87584</v>
      </c>
      <c r="E76" s="551">
        <f t="shared" si="6"/>
        <v>4666.666666666667</v>
      </c>
      <c r="F76" s="551">
        <f t="shared" si="3"/>
        <v>3910</v>
      </c>
      <c r="G76" s="552">
        <f t="shared" si="2"/>
        <v>1346249.3333333312</v>
      </c>
    </row>
    <row r="77" spans="1:7" x14ac:dyDescent="0.2">
      <c r="A77" s="455">
        <f t="shared" si="0"/>
        <v>48</v>
      </c>
      <c r="B77" s="455" t="s">
        <v>76</v>
      </c>
      <c r="C77" s="553">
        <f t="shared" si="1"/>
        <v>96160.666666666672</v>
      </c>
      <c r="D77" s="551">
        <f t="shared" si="6"/>
        <v>87584</v>
      </c>
      <c r="E77" s="551">
        <f t="shared" si="6"/>
        <v>4666.666666666667</v>
      </c>
      <c r="F77" s="551">
        <f t="shared" si="3"/>
        <v>3910</v>
      </c>
      <c r="G77" s="552">
        <f t="shared" si="2"/>
        <v>1250088.6666666644</v>
      </c>
    </row>
    <row r="78" spans="1:7" x14ac:dyDescent="0.2">
      <c r="A78" s="455">
        <f t="shared" si="0"/>
        <v>49</v>
      </c>
      <c r="B78" s="455" t="s">
        <v>77</v>
      </c>
      <c r="C78" s="553">
        <f t="shared" si="1"/>
        <v>96160.666666666672</v>
      </c>
      <c r="D78" s="551">
        <f t="shared" si="6"/>
        <v>87584</v>
      </c>
      <c r="E78" s="551">
        <f t="shared" si="6"/>
        <v>4666.666666666667</v>
      </c>
      <c r="F78" s="551">
        <f t="shared" si="3"/>
        <v>3910</v>
      </c>
      <c r="G78" s="552">
        <f t="shared" si="2"/>
        <v>1153927.9999999977</v>
      </c>
    </row>
    <row r="79" spans="1:7" x14ac:dyDescent="0.2">
      <c r="A79" s="455">
        <f t="shared" si="0"/>
        <v>50</v>
      </c>
      <c r="B79" s="455" t="s">
        <v>78</v>
      </c>
      <c r="C79" s="553">
        <f t="shared" si="1"/>
        <v>96160.666666666672</v>
      </c>
      <c r="D79" s="551">
        <f t="shared" si="6"/>
        <v>87584</v>
      </c>
      <c r="E79" s="551">
        <f t="shared" si="6"/>
        <v>4666.666666666667</v>
      </c>
      <c r="F79" s="551">
        <f t="shared" si="3"/>
        <v>3910</v>
      </c>
      <c r="G79" s="552">
        <f t="shared" si="2"/>
        <v>1057767.3333333309</v>
      </c>
    </row>
    <row r="80" spans="1:7" x14ac:dyDescent="0.2">
      <c r="A80" s="455">
        <f t="shared" si="0"/>
        <v>51</v>
      </c>
      <c r="B80" s="455" t="s">
        <v>79</v>
      </c>
      <c r="C80" s="553">
        <f t="shared" si="1"/>
        <v>96160.666666666672</v>
      </c>
      <c r="D80" s="551">
        <f t="shared" si="6"/>
        <v>87584</v>
      </c>
      <c r="E80" s="551">
        <f t="shared" si="6"/>
        <v>4666.666666666667</v>
      </c>
      <c r="F80" s="551">
        <f t="shared" si="3"/>
        <v>3910</v>
      </c>
      <c r="G80" s="552">
        <f t="shared" si="2"/>
        <v>961606.6666666643</v>
      </c>
    </row>
    <row r="81" spans="1:8" x14ac:dyDescent="0.2">
      <c r="A81" s="455">
        <f t="shared" si="0"/>
        <v>52</v>
      </c>
      <c r="B81" s="455" t="s">
        <v>80</v>
      </c>
      <c r="C81" s="553">
        <f t="shared" si="1"/>
        <v>96160.666666666672</v>
      </c>
      <c r="D81" s="551">
        <f t="shared" si="6"/>
        <v>87584</v>
      </c>
      <c r="E81" s="551">
        <f t="shared" si="6"/>
        <v>4666.666666666667</v>
      </c>
      <c r="F81" s="551">
        <f t="shared" si="3"/>
        <v>3910</v>
      </c>
      <c r="G81" s="552">
        <f t="shared" si="2"/>
        <v>865445.99999999767</v>
      </c>
    </row>
    <row r="82" spans="1:8" x14ac:dyDescent="0.2">
      <c r="A82" s="455">
        <f t="shared" si="0"/>
        <v>53</v>
      </c>
      <c r="B82" s="455" t="s">
        <v>81</v>
      </c>
      <c r="C82" s="553">
        <f t="shared" si="1"/>
        <v>96160.666666666672</v>
      </c>
      <c r="D82" s="551">
        <f t="shared" ref="D82:E89" si="7">D81</f>
        <v>87584</v>
      </c>
      <c r="E82" s="551">
        <f t="shared" si="7"/>
        <v>4666.666666666667</v>
      </c>
      <c r="F82" s="551">
        <f t="shared" si="3"/>
        <v>3910</v>
      </c>
      <c r="G82" s="552">
        <f t="shared" si="2"/>
        <v>769285.33333333104</v>
      </c>
    </row>
    <row r="83" spans="1:8" x14ac:dyDescent="0.2">
      <c r="A83" s="455">
        <f t="shared" si="0"/>
        <v>54</v>
      </c>
      <c r="B83" s="455" t="s">
        <v>82</v>
      </c>
      <c r="C83" s="553">
        <f t="shared" si="1"/>
        <v>96160.666666666672</v>
      </c>
      <c r="D83" s="551">
        <f t="shared" si="7"/>
        <v>87584</v>
      </c>
      <c r="E83" s="551">
        <f t="shared" si="7"/>
        <v>4666.666666666667</v>
      </c>
      <c r="F83" s="551">
        <f t="shared" si="3"/>
        <v>3910</v>
      </c>
      <c r="G83" s="552">
        <f t="shared" si="2"/>
        <v>673124.66666666442</v>
      </c>
    </row>
    <row r="84" spans="1:8" x14ac:dyDescent="0.2">
      <c r="A84" s="455">
        <f t="shared" si="0"/>
        <v>55</v>
      </c>
      <c r="B84" s="455" t="s">
        <v>83</v>
      </c>
      <c r="C84" s="553">
        <f t="shared" si="1"/>
        <v>96160.666666666672</v>
      </c>
      <c r="D84" s="551">
        <f t="shared" si="7"/>
        <v>87584</v>
      </c>
      <c r="E84" s="551">
        <f t="shared" si="7"/>
        <v>4666.666666666667</v>
      </c>
      <c r="F84" s="551">
        <f t="shared" si="3"/>
        <v>3910</v>
      </c>
      <c r="G84" s="552">
        <f t="shared" si="2"/>
        <v>576963.99999999779</v>
      </c>
    </row>
    <row r="85" spans="1:8" x14ac:dyDescent="0.2">
      <c r="A85" s="455">
        <f t="shared" si="0"/>
        <v>56</v>
      </c>
      <c r="B85" s="455" t="s">
        <v>84</v>
      </c>
      <c r="C85" s="553">
        <f t="shared" si="1"/>
        <v>96160.666666666672</v>
      </c>
      <c r="D85" s="551">
        <f t="shared" si="7"/>
        <v>87584</v>
      </c>
      <c r="E85" s="551">
        <f t="shared" si="7"/>
        <v>4666.666666666667</v>
      </c>
      <c r="F85" s="551">
        <f t="shared" si="3"/>
        <v>3910</v>
      </c>
      <c r="G85" s="552">
        <f t="shared" si="2"/>
        <v>480803.3333333311</v>
      </c>
    </row>
    <row r="86" spans="1:8" x14ac:dyDescent="0.2">
      <c r="A86" s="455">
        <f t="shared" si="0"/>
        <v>57</v>
      </c>
      <c r="B86" s="455" t="s">
        <v>85</v>
      </c>
      <c r="C86" s="553">
        <f t="shared" si="1"/>
        <v>96160.666666666672</v>
      </c>
      <c r="D86" s="551">
        <f t="shared" si="7"/>
        <v>87584</v>
      </c>
      <c r="E86" s="551">
        <f t="shared" si="7"/>
        <v>4666.666666666667</v>
      </c>
      <c r="F86" s="551">
        <f t="shared" si="3"/>
        <v>3910</v>
      </c>
      <c r="G86" s="552">
        <f t="shared" si="2"/>
        <v>384642.66666666442</v>
      </c>
    </row>
    <row r="87" spans="1:8" x14ac:dyDescent="0.2">
      <c r="A87" s="455">
        <f t="shared" si="0"/>
        <v>58</v>
      </c>
      <c r="B87" s="455" t="s">
        <v>86</v>
      </c>
      <c r="C87" s="553">
        <f t="shared" si="1"/>
        <v>96160.666666666672</v>
      </c>
      <c r="D87" s="551">
        <f t="shared" si="7"/>
        <v>87584</v>
      </c>
      <c r="E87" s="551">
        <f t="shared" si="7"/>
        <v>4666.666666666667</v>
      </c>
      <c r="F87" s="551">
        <f t="shared" si="3"/>
        <v>3910</v>
      </c>
      <c r="G87" s="552">
        <f t="shared" si="2"/>
        <v>288481.99999999773</v>
      </c>
    </row>
    <row r="88" spans="1:8" x14ac:dyDescent="0.2">
      <c r="A88" s="455">
        <f t="shared" si="0"/>
        <v>59</v>
      </c>
      <c r="B88" s="455" t="s">
        <v>87</v>
      </c>
      <c r="C88" s="553">
        <f t="shared" si="1"/>
        <v>96160.666666666672</v>
      </c>
      <c r="D88" s="551">
        <f t="shared" si="7"/>
        <v>87584</v>
      </c>
      <c r="E88" s="551">
        <f t="shared" si="7"/>
        <v>4666.666666666667</v>
      </c>
      <c r="F88" s="551">
        <f t="shared" si="3"/>
        <v>3910</v>
      </c>
      <c r="G88" s="552">
        <f t="shared" si="2"/>
        <v>192321.33333333104</v>
      </c>
    </row>
    <row r="89" spans="1:8" x14ac:dyDescent="0.2">
      <c r="A89" s="455">
        <f t="shared" si="0"/>
        <v>60</v>
      </c>
      <c r="B89" s="455" t="s">
        <v>88</v>
      </c>
      <c r="C89" s="553">
        <f t="shared" si="1"/>
        <v>96160.666666666672</v>
      </c>
      <c r="D89" s="551">
        <f t="shared" si="7"/>
        <v>87584</v>
      </c>
      <c r="E89" s="551">
        <f t="shared" si="7"/>
        <v>4666.666666666667</v>
      </c>
      <c r="F89" s="551">
        <f t="shared" si="3"/>
        <v>3910</v>
      </c>
      <c r="G89" s="552">
        <f t="shared" si="2"/>
        <v>96160.666666664372</v>
      </c>
      <c r="H89" s="520"/>
    </row>
    <row r="90" spans="1:8" x14ac:dyDescent="0.2">
      <c r="A90" s="455">
        <f t="shared" si="0"/>
        <v>61</v>
      </c>
      <c r="B90" s="455" t="s">
        <v>89</v>
      </c>
      <c r="C90" s="553">
        <f t="shared" si="1"/>
        <v>96160.666666665929</v>
      </c>
      <c r="D90" s="551">
        <f>(D22+D23)-(SUM(D29:D89))</f>
        <v>87584</v>
      </c>
      <c r="E90" s="551">
        <f>D25-(SUM(E29:E89))</f>
        <v>4666.6666666659294</v>
      </c>
      <c r="F90" s="551">
        <f t="shared" si="3"/>
        <v>3910</v>
      </c>
      <c r="G90" s="552">
        <f t="shared" si="2"/>
        <v>-1.5570549294352531E-9</v>
      </c>
    </row>
    <row r="91" spans="1:8" x14ac:dyDescent="0.2">
      <c r="A91" s="476"/>
      <c r="B91" s="476"/>
      <c r="C91" s="477"/>
      <c r="D91" s="478"/>
      <c r="E91" s="478"/>
      <c r="F91" s="478"/>
      <c r="G91" s="479"/>
    </row>
    <row r="92" spans="1:8" x14ac:dyDescent="0.2">
      <c r="A92" s="618" t="s">
        <v>113</v>
      </c>
      <c r="B92" s="621"/>
      <c r="C92" s="622"/>
      <c r="D92" s="623"/>
      <c r="E92" s="623"/>
      <c r="F92" s="623"/>
      <c r="G92" s="623"/>
    </row>
    <row r="93" spans="1:8" x14ac:dyDescent="0.2">
      <c r="A93" s="701" t="s">
        <v>531</v>
      </c>
      <c r="B93" s="701"/>
      <c r="C93" s="701"/>
      <c r="D93" s="701"/>
      <c r="E93" s="701"/>
      <c r="F93" s="701"/>
      <c r="G93" s="701"/>
      <c r="H93" s="614"/>
    </row>
    <row r="94" spans="1:8" x14ac:dyDescent="0.2">
      <c r="A94" s="674" t="s">
        <v>610</v>
      </c>
      <c r="B94" s="674"/>
      <c r="C94" s="674"/>
      <c r="D94" s="674"/>
      <c r="E94" s="674"/>
      <c r="F94" s="674"/>
      <c r="G94" s="674"/>
      <c r="H94" s="615"/>
    </row>
    <row r="95" spans="1:8" x14ac:dyDescent="0.2">
      <c r="A95" s="674" t="s">
        <v>532</v>
      </c>
      <c r="B95" s="674"/>
      <c r="C95" s="674"/>
      <c r="D95" s="674"/>
      <c r="E95" s="674"/>
      <c r="F95" s="674"/>
      <c r="G95" s="674"/>
      <c r="H95" s="615"/>
    </row>
    <row r="96" spans="1:8" x14ac:dyDescent="0.2">
      <c r="A96" s="674" t="s">
        <v>533</v>
      </c>
      <c r="B96" s="674"/>
      <c r="C96" s="674"/>
      <c r="D96" s="674"/>
      <c r="E96" s="674"/>
      <c r="F96" s="674"/>
      <c r="G96" s="674"/>
      <c r="H96" s="615"/>
    </row>
    <row r="97" spans="1:8" ht="108" customHeight="1" x14ac:dyDescent="0.2">
      <c r="A97" s="674" t="s">
        <v>684</v>
      </c>
      <c r="B97" s="674"/>
      <c r="C97" s="674"/>
      <c r="D97" s="674"/>
      <c r="E97" s="674"/>
      <c r="F97" s="674"/>
      <c r="G97" s="674"/>
      <c r="H97" s="615"/>
    </row>
    <row r="98" spans="1:8" ht="27" customHeight="1" x14ac:dyDescent="0.2">
      <c r="A98" s="675" t="s">
        <v>683</v>
      </c>
      <c r="B98" s="675"/>
      <c r="C98" s="675"/>
      <c r="D98" s="675"/>
      <c r="E98" s="675"/>
      <c r="F98" s="675"/>
      <c r="G98" s="675"/>
      <c r="H98" s="616"/>
    </row>
    <row r="99" spans="1:8" x14ac:dyDescent="0.2">
      <c r="A99" s="675" t="s">
        <v>685</v>
      </c>
      <c r="B99" s="675"/>
      <c r="C99" s="675"/>
      <c r="D99" s="675"/>
      <c r="E99" s="675"/>
      <c r="F99" s="675"/>
      <c r="G99" s="675"/>
      <c r="H99" s="616"/>
    </row>
    <row r="100" spans="1:8" x14ac:dyDescent="0.2">
      <c r="A100" s="675" t="s">
        <v>686</v>
      </c>
      <c r="B100" s="675"/>
      <c r="C100" s="675"/>
      <c r="D100" s="675"/>
      <c r="E100" s="675"/>
      <c r="F100" s="675"/>
      <c r="G100" s="675"/>
      <c r="H100" s="616"/>
    </row>
    <row r="101" spans="1:8" x14ac:dyDescent="0.2">
      <c r="A101" s="413"/>
      <c r="B101" s="413"/>
      <c r="C101" s="413"/>
      <c r="D101" s="413"/>
      <c r="E101" s="413"/>
      <c r="F101" s="413"/>
      <c r="G101" s="413"/>
      <c r="H101" s="413"/>
    </row>
    <row r="102" spans="1:8" x14ac:dyDescent="0.2">
      <c r="A102" s="620" t="s">
        <v>91</v>
      </c>
    </row>
    <row r="103" spans="1:8" ht="15" customHeight="1" x14ac:dyDescent="0.2"/>
    <row r="104" spans="1:8" ht="15" customHeight="1" x14ac:dyDescent="0.2">
      <c r="A104" s="481"/>
      <c r="B104" s="482"/>
      <c r="F104" s="483"/>
      <c r="G104" s="483"/>
    </row>
    <row r="105" spans="1:8" x14ac:dyDescent="0.2">
      <c r="A105" s="702" t="s">
        <v>422</v>
      </c>
      <c r="B105" s="702"/>
      <c r="E105" s="703" t="s">
        <v>447</v>
      </c>
      <c r="F105" s="703"/>
      <c r="G105" s="703"/>
    </row>
    <row r="106" spans="1:8" x14ac:dyDescent="0.2">
      <c r="A106" s="554"/>
      <c r="B106" s="555"/>
      <c r="C106" s="554"/>
      <c r="D106" s="480"/>
      <c r="E106" s="480"/>
      <c r="F106" s="480"/>
      <c r="G106"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95:G95"/>
    <mergeCell ref="D19:E19"/>
    <mergeCell ref="D20:E20"/>
    <mergeCell ref="D21:E21"/>
    <mergeCell ref="D22:E22"/>
    <mergeCell ref="D23:E23"/>
    <mergeCell ref="D24:E24"/>
    <mergeCell ref="D25:E25"/>
    <mergeCell ref="D26:E26"/>
    <mergeCell ref="I29:J29"/>
    <mergeCell ref="A93:G93"/>
    <mergeCell ref="A94:G94"/>
    <mergeCell ref="A105:B105"/>
    <mergeCell ref="E105:G105"/>
    <mergeCell ref="A96:G96"/>
    <mergeCell ref="A97:G97"/>
    <mergeCell ref="A98:G98"/>
    <mergeCell ref="A99:G99"/>
    <mergeCell ref="A100:G100"/>
  </mergeCells>
  <hyperlinks>
    <hyperlink ref="G6" location="INPUT!A1" display="BACK TO INPUT" xr:uid="{00000000-0004-0000-0400-000000000000}"/>
  </hyperlinks>
  <printOptions horizontalCentered="1" verticalCentered="1"/>
  <pageMargins left="0.25" right="0.25" top="0.5" bottom="0.5" header="0.3" footer="0.3"/>
  <pageSetup paperSize="195" scale="80" orientation="portrait" horizontalDpi="200" verticalDpi="200" r:id="rId1"/>
  <headerFooter>
    <oddFooter>Page &amp;P of &amp;N</oddFooter>
  </headerFooter>
  <rowBreaks count="1" manualBreakCount="1">
    <brk id="5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U106"/>
  <sheetViews>
    <sheetView zoomScale="85" zoomScaleNormal="85" workbookViewId="0">
      <selection activeCell="F19" sqref="F19"/>
    </sheetView>
  </sheetViews>
  <sheetFormatPr baseColWidth="10" defaultColWidth="0" defaultRowHeight="15" x14ac:dyDescent="0.2"/>
  <cols>
    <col min="1" max="1" width="34.1640625" style="449" bestFit="1" customWidth="1"/>
    <col min="2" max="2" width="10.33203125" style="467" bestFit="1" customWidth="1"/>
    <col min="3" max="3" width="14" style="449" bestFit="1" customWidth="1"/>
    <col min="4" max="4" width="14" style="448" bestFit="1" customWidth="1"/>
    <col min="5" max="6" width="12.1640625" style="448" bestFit="1" customWidth="1"/>
    <col min="7" max="7" width="16"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ol min="13" max="13" width="6.1640625" style="449" hidden="1" customWidth="1"/>
    <col min="14" max="14" width="27.1640625" style="449" hidden="1" customWidth="1"/>
    <col min="15" max="18" width="22.5" style="449" hidden="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B2-L10</v>
      </c>
      <c r="J1" s="450"/>
      <c r="K1" s="466">
        <f>VLOOKUP(I1,'SOLA Pricelist'!B9:P62,13,FALSE)</f>
        <v>11984000</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B2-L10</v>
      </c>
      <c r="C4" s="712"/>
      <c r="D4" s="461"/>
      <c r="E4" s="461"/>
      <c r="I4" s="450"/>
      <c r="J4" s="456" t="s">
        <v>109</v>
      </c>
      <c r="K4" s="457">
        <v>0</v>
      </c>
      <c r="L4" s="450"/>
      <c r="M4" s="453">
        <v>0.02</v>
      </c>
      <c r="S4" s="462"/>
      <c r="T4" s="463" t="s">
        <v>109</v>
      </c>
      <c r="U4" s="464">
        <v>0</v>
      </c>
    </row>
    <row r="5" spans="1:21" x14ac:dyDescent="0.2">
      <c r="A5" s="455" t="str">
        <f>INPUT!C19</f>
        <v>Lot Area (sqm.)</v>
      </c>
      <c r="B5" s="712">
        <f>INPUT!D19</f>
        <v>300</v>
      </c>
      <c r="C5" s="712"/>
      <c r="D5" s="461"/>
      <c r="E5" s="461"/>
      <c r="G5" s="449"/>
      <c r="I5" s="450"/>
      <c r="J5" s="465" t="s">
        <v>596</v>
      </c>
      <c r="K5" s="464">
        <v>300000</v>
      </c>
      <c r="L5" s="450"/>
      <c r="M5" s="453">
        <v>0.03</v>
      </c>
    </row>
    <row r="6" spans="1:21" x14ac:dyDescent="0.2">
      <c r="A6" s="455" t="str">
        <f>INPUT!C20</f>
        <v>Lot Type</v>
      </c>
      <c r="B6" s="712" t="str">
        <f>INPUT!D20</f>
        <v>Parkview</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1.25" customHeight="1" x14ac:dyDescent="0.2">
      <c r="A8" s="562" t="s">
        <v>23</v>
      </c>
      <c r="B8" s="711" t="str">
        <f>INPUT!F18</f>
        <v>20% Spot / 80% in 60 mos.  (with 3% Discount)</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11424000</v>
      </c>
      <c r="E12" s="714"/>
      <c r="I12" s="484"/>
      <c r="J12" s="450"/>
      <c r="K12" s="466"/>
      <c r="L12" s="450"/>
    </row>
    <row r="13" spans="1:21" s="485" customFormat="1" hidden="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x14ac:dyDescent="0.2">
      <c r="A15" s="454" t="s">
        <v>501</v>
      </c>
      <c r="B15" s="524"/>
      <c r="C15" s="458">
        <v>0.03</v>
      </c>
      <c r="D15" s="708">
        <f>(D12-D13-D14)*C15</f>
        <v>342720</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11081280</v>
      </c>
      <c r="E19" s="707"/>
      <c r="I19" s="498"/>
      <c r="J19" s="486"/>
      <c r="K19" s="488"/>
      <c r="L19" s="487"/>
    </row>
    <row r="20" spans="1:16" s="485" customFormat="1" x14ac:dyDescent="0.2">
      <c r="A20" s="521" t="str">
        <f>IF(INPUT!D22=INPUT!N14,"          Discounted List Price (VAT-EX)","         List Price (VAT-EX)")</f>
        <v xml:space="preserve">         List Price (VAT-EX)</v>
      </c>
      <c r="B20" s="522"/>
      <c r="D20" s="706">
        <f>D19/1.12</f>
        <v>9893999.9999999981</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9893999.9999999981</v>
      </c>
      <c r="E22" s="707"/>
      <c r="I22" s="499"/>
      <c r="J22" s="487"/>
      <c r="K22" s="488"/>
      <c r="L22" s="487"/>
    </row>
    <row r="23" spans="1:16" s="485" customFormat="1" x14ac:dyDescent="0.2">
      <c r="A23" s="521" t="s">
        <v>607</v>
      </c>
      <c r="B23" s="522"/>
      <c r="C23" s="531">
        <v>0.12</v>
      </c>
      <c r="D23" s="706">
        <f>D22*C23</f>
        <v>1187279.9999999998</v>
      </c>
      <c r="E23" s="706"/>
      <c r="I23" s="487"/>
      <c r="J23" s="487"/>
      <c r="K23" s="488"/>
      <c r="L23" s="487"/>
    </row>
    <row r="24" spans="1:16" x14ac:dyDescent="0.2">
      <c r="A24" s="511" t="s">
        <v>608</v>
      </c>
      <c r="C24" s="532">
        <v>0.05</v>
      </c>
      <c r="D24" s="706">
        <f>D22*C24</f>
        <v>494699.99999999994</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12135979.999999998</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12035979.999999998</v>
      </c>
      <c r="I29" s="706"/>
      <c r="J29" s="706"/>
      <c r="K29" s="508"/>
      <c r="L29" s="509"/>
      <c r="M29" s="510"/>
      <c r="N29" s="511"/>
      <c r="P29" s="491"/>
    </row>
    <row r="30" spans="1:16" x14ac:dyDescent="0.2">
      <c r="A30" s="455">
        <f>A29+1</f>
        <v>1</v>
      </c>
      <c r="B30" s="455" t="s">
        <v>102</v>
      </c>
      <c r="C30" s="553">
        <f>SUM(D30:F30)</f>
        <v>2327195.9999999995</v>
      </c>
      <c r="D30" s="551">
        <f>(((D22+D23)*I30-D29)/J30)</f>
        <v>2141255.9999999995</v>
      </c>
      <c r="E30" s="551">
        <f>((D25*I30-E29)/J30)</f>
        <v>87000</v>
      </c>
      <c r="F30" s="551">
        <f>(D24*I30)</f>
        <v>98940</v>
      </c>
      <c r="G30" s="552">
        <f>G29-C30</f>
        <v>9708783.9999999981</v>
      </c>
      <c r="H30" s="512"/>
      <c r="I30" s="513">
        <v>0.2</v>
      </c>
      <c r="J30" s="450">
        <v>1</v>
      </c>
      <c r="K30" s="510"/>
      <c r="L30" s="510"/>
      <c r="M30" s="510"/>
      <c r="O30" s="502"/>
      <c r="P30" s="496"/>
    </row>
    <row r="31" spans="1:16" s="514" customFormat="1" x14ac:dyDescent="0.2">
      <c r="A31" s="455">
        <f t="shared" ref="A31:A90" si="0">A30+1</f>
        <v>2</v>
      </c>
      <c r="B31" s="455" t="s">
        <v>30</v>
      </c>
      <c r="C31" s="553">
        <f t="shared" ref="C31:C90" si="1">SUM(D31:F31)</f>
        <v>161813.06666666662</v>
      </c>
      <c r="D31" s="551">
        <f>((D26-(D24+D25))*I31/J31)</f>
        <v>147750.39999999997</v>
      </c>
      <c r="E31" s="551">
        <f>((D25*I31)/J31)</f>
        <v>7466.666666666667</v>
      </c>
      <c r="F31" s="551">
        <f>(D24*I31)/J31</f>
        <v>6596</v>
      </c>
      <c r="G31" s="552">
        <f t="shared" ref="G31:G90" si="2">G30-C31</f>
        <v>9546970.9333333317</v>
      </c>
      <c r="I31" s="513">
        <f>100%-I30</f>
        <v>0.8</v>
      </c>
      <c r="J31" s="450">
        <v>60</v>
      </c>
      <c r="K31" s="515"/>
      <c r="L31" s="516"/>
      <c r="M31" s="517"/>
      <c r="O31" s="518"/>
    </row>
    <row r="32" spans="1:16" x14ac:dyDescent="0.2">
      <c r="A32" s="455">
        <f t="shared" si="0"/>
        <v>3</v>
      </c>
      <c r="B32" s="455" t="s">
        <v>31</v>
      </c>
      <c r="C32" s="553">
        <f t="shared" si="1"/>
        <v>161813.06666666662</v>
      </c>
      <c r="D32" s="551">
        <f>D31</f>
        <v>147750.39999999997</v>
      </c>
      <c r="E32" s="551">
        <f>E31</f>
        <v>7466.666666666667</v>
      </c>
      <c r="F32" s="551">
        <f>F31</f>
        <v>6596</v>
      </c>
      <c r="G32" s="552">
        <f t="shared" si="2"/>
        <v>9385157.8666666653</v>
      </c>
      <c r="I32" s="519"/>
    </row>
    <row r="33" spans="1:7" x14ac:dyDescent="0.2">
      <c r="A33" s="455">
        <f t="shared" si="0"/>
        <v>4</v>
      </c>
      <c r="B33" s="455" t="s">
        <v>32</v>
      </c>
      <c r="C33" s="553">
        <f t="shared" si="1"/>
        <v>161813.06666666662</v>
      </c>
      <c r="D33" s="551">
        <f>D32</f>
        <v>147750.39999999997</v>
      </c>
      <c r="E33" s="551">
        <f>E32</f>
        <v>7466.666666666667</v>
      </c>
      <c r="F33" s="551">
        <f t="shared" ref="F33:F90" si="3">F32</f>
        <v>6596</v>
      </c>
      <c r="G33" s="552">
        <f t="shared" si="2"/>
        <v>9223344.7999999989</v>
      </c>
    </row>
    <row r="34" spans="1:7" x14ac:dyDescent="0.2">
      <c r="A34" s="455">
        <f t="shared" si="0"/>
        <v>5</v>
      </c>
      <c r="B34" s="455" t="s">
        <v>33</v>
      </c>
      <c r="C34" s="553">
        <f t="shared" si="1"/>
        <v>161813.06666666662</v>
      </c>
      <c r="D34" s="551">
        <f t="shared" ref="D34:E49" si="4">D33</f>
        <v>147750.39999999997</v>
      </c>
      <c r="E34" s="551">
        <f t="shared" si="4"/>
        <v>7466.666666666667</v>
      </c>
      <c r="F34" s="551">
        <f t="shared" si="3"/>
        <v>6596</v>
      </c>
      <c r="G34" s="552">
        <f t="shared" si="2"/>
        <v>9061531.7333333325</v>
      </c>
    </row>
    <row r="35" spans="1:7" x14ac:dyDescent="0.2">
      <c r="A35" s="455">
        <f t="shared" si="0"/>
        <v>6</v>
      </c>
      <c r="B35" s="455" t="s">
        <v>34</v>
      </c>
      <c r="C35" s="553">
        <f t="shared" si="1"/>
        <v>161813.06666666662</v>
      </c>
      <c r="D35" s="551">
        <f t="shared" si="4"/>
        <v>147750.39999999997</v>
      </c>
      <c r="E35" s="551">
        <f t="shared" si="4"/>
        <v>7466.666666666667</v>
      </c>
      <c r="F35" s="551">
        <f t="shared" si="3"/>
        <v>6596</v>
      </c>
      <c r="G35" s="552">
        <f t="shared" si="2"/>
        <v>8899718.666666666</v>
      </c>
    </row>
    <row r="36" spans="1:7" x14ac:dyDescent="0.2">
      <c r="A36" s="455">
        <f t="shared" si="0"/>
        <v>7</v>
      </c>
      <c r="B36" s="455" t="s">
        <v>35</v>
      </c>
      <c r="C36" s="553">
        <f t="shared" si="1"/>
        <v>161813.06666666662</v>
      </c>
      <c r="D36" s="551">
        <f t="shared" si="4"/>
        <v>147750.39999999997</v>
      </c>
      <c r="E36" s="551">
        <f t="shared" si="4"/>
        <v>7466.666666666667</v>
      </c>
      <c r="F36" s="551">
        <f t="shared" si="3"/>
        <v>6596</v>
      </c>
      <c r="G36" s="552">
        <f t="shared" si="2"/>
        <v>8737905.5999999996</v>
      </c>
    </row>
    <row r="37" spans="1:7" x14ac:dyDescent="0.2">
      <c r="A37" s="455">
        <f t="shared" si="0"/>
        <v>8</v>
      </c>
      <c r="B37" s="455" t="s">
        <v>36</v>
      </c>
      <c r="C37" s="553">
        <f t="shared" si="1"/>
        <v>161813.06666666662</v>
      </c>
      <c r="D37" s="551">
        <f t="shared" si="4"/>
        <v>147750.39999999997</v>
      </c>
      <c r="E37" s="551">
        <f t="shared" si="4"/>
        <v>7466.666666666667</v>
      </c>
      <c r="F37" s="551">
        <f t="shared" si="3"/>
        <v>6596</v>
      </c>
      <c r="G37" s="552">
        <f t="shared" si="2"/>
        <v>8576092.5333333332</v>
      </c>
    </row>
    <row r="38" spans="1:7" x14ac:dyDescent="0.2">
      <c r="A38" s="455">
        <f t="shared" si="0"/>
        <v>9</v>
      </c>
      <c r="B38" s="455" t="s">
        <v>37</v>
      </c>
      <c r="C38" s="553">
        <f t="shared" si="1"/>
        <v>161813.06666666662</v>
      </c>
      <c r="D38" s="551">
        <f t="shared" si="4"/>
        <v>147750.39999999997</v>
      </c>
      <c r="E38" s="551">
        <f t="shared" si="4"/>
        <v>7466.666666666667</v>
      </c>
      <c r="F38" s="551">
        <f t="shared" si="3"/>
        <v>6596</v>
      </c>
      <c r="G38" s="552">
        <f t="shared" si="2"/>
        <v>8414279.4666666668</v>
      </c>
    </row>
    <row r="39" spans="1:7" x14ac:dyDescent="0.2">
      <c r="A39" s="455">
        <f t="shared" si="0"/>
        <v>10</v>
      </c>
      <c r="B39" s="455" t="s">
        <v>38</v>
      </c>
      <c r="C39" s="553">
        <f t="shared" si="1"/>
        <v>161813.06666666662</v>
      </c>
      <c r="D39" s="551">
        <f t="shared" si="4"/>
        <v>147750.39999999997</v>
      </c>
      <c r="E39" s="551">
        <f t="shared" si="4"/>
        <v>7466.666666666667</v>
      </c>
      <c r="F39" s="551">
        <f t="shared" si="3"/>
        <v>6596</v>
      </c>
      <c r="G39" s="552">
        <f t="shared" si="2"/>
        <v>8252466.4000000004</v>
      </c>
    </row>
    <row r="40" spans="1:7" x14ac:dyDescent="0.2">
      <c r="A40" s="455">
        <f t="shared" si="0"/>
        <v>11</v>
      </c>
      <c r="B40" s="455" t="s">
        <v>39</v>
      </c>
      <c r="C40" s="553">
        <f t="shared" si="1"/>
        <v>161813.06666666662</v>
      </c>
      <c r="D40" s="551">
        <f t="shared" si="4"/>
        <v>147750.39999999997</v>
      </c>
      <c r="E40" s="551">
        <f t="shared" si="4"/>
        <v>7466.666666666667</v>
      </c>
      <c r="F40" s="551">
        <f t="shared" si="3"/>
        <v>6596</v>
      </c>
      <c r="G40" s="552">
        <f t="shared" si="2"/>
        <v>8090653.333333334</v>
      </c>
    </row>
    <row r="41" spans="1:7" x14ac:dyDescent="0.2">
      <c r="A41" s="455">
        <f t="shared" si="0"/>
        <v>12</v>
      </c>
      <c r="B41" s="455" t="s">
        <v>40</v>
      </c>
      <c r="C41" s="553">
        <f t="shared" si="1"/>
        <v>161813.06666666662</v>
      </c>
      <c r="D41" s="551">
        <f t="shared" si="4"/>
        <v>147750.39999999997</v>
      </c>
      <c r="E41" s="551">
        <f t="shared" si="4"/>
        <v>7466.666666666667</v>
      </c>
      <c r="F41" s="551">
        <f t="shared" si="3"/>
        <v>6596</v>
      </c>
      <c r="G41" s="552">
        <f t="shared" si="2"/>
        <v>7928840.2666666675</v>
      </c>
    </row>
    <row r="42" spans="1:7" x14ac:dyDescent="0.2">
      <c r="A42" s="455">
        <f t="shared" si="0"/>
        <v>13</v>
      </c>
      <c r="B42" s="455" t="s">
        <v>41</v>
      </c>
      <c r="C42" s="553">
        <f t="shared" si="1"/>
        <v>161813.06666666662</v>
      </c>
      <c r="D42" s="551">
        <f t="shared" si="4"/>
        <v>147750.39999999997</v>
      </c>
      <c r="E42" s="551">
        <f t="shared" si="4"/>
        <v>7466.666666666667</v>
      </c>
      <c r="F42" s="551">
        <f t="shared" si="3"/>
        <v>6596</v>
      </c>
      <c r="G42" s="552">
        <f t="shared" si="2"/>
        <v>7767027.2000000011</v>
      </c>
    </row>
    <row r="43" spans="1:7" x14ac:dyDescent="0.2">
      <c r="A43" s="455">
        <f t="shared" si="0"/>
        <v>14</v>
      </c>
      <c r="B43" s="455" t="s">
        <v>42</v>
      </c>
      <c r="C43" s="553">
        <f t="shared" si="1"/>
        <v>161813.06666666662</v>
      </c>
      <c r="D43" s="551">
        <f t="shared" si="4"/>
        <v>147750.39999999997</v>
      </c>
      <c r="E43" s="551">
        <f t="shared" si="4"/>
        <v>7466.666666666667</v>
      </c>
      <c r="F43" s="551">
        <f t="shared" si="3"/>
        <v>6596</v>
      </c>
      <c r="G43" s="552">
        <f t="shared" si="2"/>
        <v>7605214.1333333347</v>
      </c>
    </row>
    <row r="44" spans="1:7" x14ac:dyDescent="0.2">
      <c r="A44" s="455">
        <f t="shared" si="0"/>
        <v>15</v>
      </c>
      <c r="B44" s="455" t="s">
        <v>43</v>
      </c>
      <c r="C44" s="553">
        <f t="shared" si="1"/>
        <v>161813.06666666662</v>
      </c>
      <c r="D44" s="551">
        <f t="shared" si="4"/>
        <v>147750.39999999997</v>
      </c>
      <c r="E44" s="551">
        <f t="shared" si="4"/>
        <v>7466.666666666667</v>
      </c>
      <c r="F44" s="551">
        <f t="shared" si="3"/>
        <v>6596</v>
      </c>
      <c r="G44" s="552">
        <f t="shared" si="2"/>
        <v>7443401.0666666683</v>
      </c>
    </row>
    <row r="45" spans="1:7" x14ac:dyDescent="0.2">
      <c r="A45" s="455">
        <f t="shared" si="0"/>
        <v>16</v>
      </c>
      <c r="B45" s="455" t="s">
        <v>44</v>
      </c>
      <c r="C45" s="553">
        <f t="shared" si="1"/>
        <v>161813.06666666662</v>
      </c>
      <c r="D45" s="551">
        <f t="shared" si="4"/>
        <v>147750.39999999997</v>
      </c>
      <c r="E45" s="551">
        <f t="shared" si="4"/>
        <v>7466.666666666667</v>
      </c>
      <c r="F45" s="551">
        <f t="shared" si="3"/>
        <v>6596</v>
      </c>
      <c r="G45" s="552">
        <f t="shared" si="2"/>
        <v>7281588.0000000019</v>
      </c>
    </row>
    <row r="46" spans="1:7" x14ac:dyDescent="0.2">
      <c r="A46" s="455">
        <f t="shared" si="0"/>
        <v>17</v>
      </c>
      <c r="B46" s="455" t="s">
        <v>45</v>
      </c>
      <c r="C46" s="553">
        <f t="shared" si="1"/>
        <v>161813.06666666662</v>
      </c>
      <c r="D46" s="551">
        <f t="shared" si="4"/>
        <v>147750.39999999997</v>
      </c>
      <c r="E46" s="551">
        <f t="shared" si="4"/>
        <v>7466.666666666667</v>
      </c>
      <c r="F46" s="551">
        <f t="shared" si="3"/>
        <v>6596</v>
      </c>
      <c r="G46" s="552">
        <f t="shared" si="2"/>
        <v>7119774.9333333354</v>
      </c>
    </row>
    <row r="47" spans="1:7" x14ac:dyDescent="0.2">
      <c r="A47" s="455">
        <f t="shared" si="0"/>
        <v>18</v>
      </c>
      <c r="B47" s="455" t="s">
        <v>46</v>
      </c>
      <c r="C47" s="553">
        <f t="shared" si="1"/>
        <v>161813.06666666662</v>
      </c>
      <c r="D47" s="551">
        <f t="shared" si="4"/>
        <v>147750.39999999997</v>
      </c>
      <c r="E47" s="551">
        <f t="shared" si="4"/>
        <v>7466.666666666667</v>
      </c>
      <c r="F47" s="551">
        <f t="shared" si="3"/>
        <v>6596</v>
      </c>
      <c r="G47" s="552">
        <f t="shared" si="2"/>
        <v>6957961.866666669</v>
      </c>
    </row>
    <row r="48" spans="1:7" x14ac:dyDescent="0.2">
      <c r="A48" s="455">
        <f t="shared" si="0"/>
        <v>19</v>
      </c>
      <c r="B48" s="455" t="s">
        <v>47</v>
      </c>
      <c r="C48" s="553">
        <f t="shared" si="1"/>
        <v>161813.06666666662</v>
      </c>
      <c r="D48" s="551">
        <f t="shared" si="4"/>
        <v>147750.39999999997</v>
      </c>
      <c r="E48" s="551">
        <f t="shared" si="4"/>
        <v>7466.666666666667</v>
      </c>
      <c r="F48" s="551">
        <f t="shared" si="3"/>
        <v>6596</v>
      </c>
      <c r="G48" s="552">
        <f t="shared" si="2"/>
        <v>6796148.8000000026</v>
      </c>
    </row>
    <row r="49" spans="1:7" x14ac:dyDescent="0.2">
      <c r="A49" s="455">
        <f t="shared" si="0"/>
        <v>20</v>
      </c>
      <c r="B49" s="455" t="s">
        <v>48</v>
      </c>
      <c r="C49" s="553">
        <f t="shared" si="1"/>
        <v>161813.06666666662</v>
      </c>
      <c r="D49" s="551">
        <f t="shared" si="4"/>
        <v>147750.39999999997</v>
      </c>
      <c r="E49" s="551">
        <f t="shared" si="4"/>
        <v>7466.666666666667</v>
      </c>
      <c r="F49" s="551">
        <f t="shared" si="3"/>
        <v>6596</v>
      </c>
      <c r="G49" s="552">
        <f t="shared" si="2"/>
        <v>6634335.7333333362</v>
      </c>
    </row>
    <row r="50" spans="1:7" x14ac:dyDescent="0.2">
      <c r="A50" s="455">
        <f t="shared" si="0"/>
        <v>21</v>
      </c>
      <c r="B50" s="455" t="s">
        <v>49</v>
      </c>
      <c r="C50" s="553">
        <f t="shared" si="1"/>
        <v>161813.06666666662</v>
      </c>
      <c r="D50" s="551">
        <f t="shared" ref="D50:E65" si="5">D49</f>
        <v>147750.39999999997</v>
      </c>
      <c r="E50" s="551">
        <f t="shared" si="5"/>
        <v>7466.666666666667</v>
      </c>
      <c r="F50" s="551">
        <f t="shared" si="3"/>
        <v>6596</v>
      </c>
      <c r="G50" s="552">
        <f t="shared" si="2"/>
        <v>6472522.6666666698</v>
      </c>
    </row>
    <row r="51" spans="1:7" x14ac:dyDescent="0.2">
      <c r="A51" s="455">
        <f t="shared" si="0"/>
        <v>22</v>
      </c>
      <c r="B51" s="455" t="s">
        <v>50</v>
      </c>
      <c r="C51" s="553">
        <f t="shared" si="1"/>
        <v>161813.06666666662</v>
      </c>
      <c r="D51" s="551">
        <f t="shared" si="5"/>
        <v>147750.39999999997</v>
      </c>
      <c r="E51" s="551">
        <f t="shared" si="5"/>
        <v>7466.666666666667</v>
      </c>
      <c r="F51" s="551">
        <f t="shared" si="3"/>
        <v>6596</v>
      </c>
      <c r="G51" s="552">
        <f t="shared" si="2"/>
        <v>6310709.6000000034</v>
      </c>
    </row>
    <row r="52" spans="1:7" x14ac:dyDescent="0.2">
      <c r="A52" s="455">
        <f t="shared" si="0"/>
        <v>23</v>
      </c>
      <c r="B52" s="455" t="s">
        <v>51</v>
      </c>
      <c r="C52" s="553">
        <f t="shared" si="1"/>
        <v>161813.06666666662</v>
      </c>
      <c r="D52" s="551">
        <f t="shared" si="5"/>
        <v>147750.39999999997</v>
      </c>
      <c r="E52" s="551">
        <f t="shared" si="5"/>
        <v>7466.666666666667</v>
      </c>
      <c r="F52" s="551">
        <f t="shared" si="3"/>
        <v>6596</v>
      </c>
      <c r="G52" s="552">
        <f t="shared" si="2"/>
        <v>6148896.5333333369</v>
      </c>
    </row>
    <row r="53" spans="1:7" x14ac:dyDescent="0.2">
      <c r="A53" s="455">
        <f t="shared" si="0"/>
        <v>24</v>
      </c>
      <c r="B53" s="455" t="s">
        <v>52</v>
      </c>
      <c r="C53" s="553">
        <f t="shared" si="1"/>
        <v>161813.06666666662</v>
      </c>
      <c r="D53" s="551">
        <f t="shared" si="5"/>
        <v>147750.39999999997</v>
      </c>
      <c r="E53" s="551">
        <f t="shared" si="5"/>
        <v>7466.666666666667</v>
      </c>
      <c r="F53" s="551">
        <f t="shared" si="3"/>
        <v>6596</v>
      </c>
      <c r="G53" s="552">
        <f t="shared" si="2"/>
        <v>5987083.4666666705</v>
      </c>
    </row>
    <row r="54" spans="1:7" x14ac:dyDescent="0.2">
      <c r="A54" s="455">
        <f t="shared" si="0"/>
        <v>25</v>
      </c>
      <c r="B54" s="455" t="s">
        <v>53</v>
      </c>
      <c r="C54" s="553">
        <f t="shared" si="1"/>
        <v>161813.06666666662</v>
      </c>
      <c r="D54" s="551">
        <f t="shared" si="5"/>
        <v>147750.39999999997</v>
      </c>
      <c r="E54" s="551">
        <f t="shared" si="5"/>
        <v>7466.666666666667</v>
      </c>
      <c r="F54" s="551">
        <f t="shared" si="3"/>
        <v>6596</v>
      </c>
      <c r="G54" s="552">
        <f t="shared" si="2"/>
        <v>5825270.4000000041</v>
      </c>
    </row>
    <row r="55" spans="1:7" x14ac:dyDescent="0.2">
      <c r="A55" s="455">
        <f t="shared" si="0"/>
        <v>26</v>
      </c>
      <c r="B55" s="455" t="s">
        <v>54</v>
      </c>
      <c r="C55" s="553">
        <f t="shared" si="1"/>
        <v>161813.06666666662</v>
      </c>
      <c r="D55" s="551">
        <f t="shared" si="5"/>
        <v>147750.39999999997</v>
      </c>
      <c r="E55" s="551">
        <f t="shared" si="5"/>
        <v>7466.666666666667</v>
      </c>
      <c r="F55" s="551">
        <f t="shared" si="3"/>
        <v>6596</v>
      </c>
      <c r="G55" s="552">
        <f t="shared" si="2"/>
        <v>5663457.3333333377</v>
      </c>
    </row>
    <row r="56" spans="1:7" x14ac:dyDescent="0.2">
      <c r="A56" s="455">
        <f t="shared" si="0"/>
        <v>27</v>
      </c>
      <c r="B56" s="455" t="s">
        <v>55</v>
      </c>
      <c r="C56" s="553">
        <f t="shared" si="1"/>
        <v>161813.06666666662</v>
      </c>
      <c r="D56" s="551">
        <f t="shared" si="5"/>
        <v>147750.39999999997</v>
      </c>
      <c r="E56" s="551">
        <f t="shared" si="5"/>
        <v>7466.666666666667</v>
      </c>
      <c r="F56" s="551">
        <f t="shared" si="3"/>
        <v>6596</v>
      </c>
      <c r="G56" s="552">
        <f t="shared" si="2"/>
        <v>5501644.2666666713</v>
      </c>
    </row>
    <row r="57" spans="1:7" x14ac:dyDescent="0.2">
      <c r="A57" s="455">
        <f t="shared" si="0"/>
        <v>28</v>
      </c>
      <c r="B57" s="455" t="s">
        <v>56</v>
      </c>
      <c r="C57" s="553">
        <f t="shared" si="1"/>
        <v>161813.06666666662</v>
      </c>
      <c r="D57" s="551">
        <f t="shared" si="5"/>
        <v>147750.39999999997</v>
      </c>
      <c r="E57" s="551">
        <f t="shared" si="5"/>
        <v>7466.666666666667</v>
      </c>
      <c r="F57" s="551">
        <f t="shared" si="3"/>
        <v>6596</v>
      </c>
      <c r="G57" s="552">
        <f t="shared" si="2"/>
        <v>5339831.2000000048</v>
      </c>
    </row>
    <row r="58" spans="1:7" x14ac:dyDescent="0.2">
      <c r="A58" s="455">
        <f t="shared" si="0"/>
        <v>29</v>
      </c>
      <c r="B58" s="455" t="s">
        <v>57</v>
      </c>
      <c r="C58" s="553">
        <f t="shared" si="1"/>
        <v>161813.06666666662</v>
      </c>
      <c r="D58" s="551">
        <f t="shared" si="5"/>
        <v>147750.39999999997</v>
      </c>
      <c r="E58" s="551">
        <f t="shared" si="5"/>
        <v>7466.666666666667</v>
      </c>
      <c r="F58" s="551">
        <f t="shared" si="3"/>
        <v>6596</v>
      </c>
      <c r="G58" s="552">
        <f t="shared" si="2"/>
        <v>5178018.1333333384</v>
      </c>
    </row>
    <row r="59" spans="1:7" x14ac:dyDescent="0.2">
      <c r="A59" s="455">
        <f t="shared" si="0"/>
        <v>30</v>
      </c>
      <c r="B59" s="455" t="s">
        <v>58</v>
      </c>
      <c r="C59" s="553">
        <f t="shared" si="1"/>
        <v>161813.06666666662</v>
      </c>
      <c r="D59" s="551">
        <f t="shared" si="5"/>
        <v>147750.39999999997</v>
      </c>
      <c r="E59" s="551">
        <f t="shared" si="5"/>
        <v>7466.666666666667</v>
      </c>
      <c r="F59" s="551">
        <f t="shared" si="3"/>
        <v>6596</v>
      </c>
      <c r="G59" s="552">
        <f t="shared" si="2"/>
        <v>5016205.066666672</v>
      </c>
    </row>
    <row r="60" spans="1:7" x14ac:dyDescent="0.2">
      <c r="A60" s="455">
        <f t="shared" si="0"/>
        <v>31</v>
      </c>
      <c r="B60" s="455" t="s">
        <v>59</v>
      </c>
      <c r="C60" s="553">
        <f t="shared" si="1"/>
        <v>161813.06666666662</v>
      </c>
      <c r="D60" s="551">
        <f t="shared" si="5"/>
        <v>147750.39999999997</v>
      </c>
      <c r="E60" s="551">
        <f t="shared" si="5"/>
        <v>7466.666666666667</v>
      </c>
      <c r="F60" s="551">
        <f t="shared" si="3"/>
        <v>6596</v>
      </c>
      <c r="G60" s="552">
        <f t="shared" si="2"/>
        <v>4854392.0000000056</v>
      </c>
    </row>
    <row r="61" spans="1:7" x14ac:dyDescent="0.2">
      <c r="A61" s="455">
        <f t="shared" si="0"/>
        <v>32</v>
      </c>
      <c r="B61" s="455" t="s">
        <v>60</v>
      </c>
      <c r="C61" s="553">
        <f t="shared" si="1"/>
        <v>161813.06666666662</v>
      </c>
      <c r="D61" s="551">
        <f t="shared" si="5"/>
        <v>147750.39999999997</v>
      </c>
      <c r="E61" s="551">
        <f t="shared" si="5"/>
        <v>7466.666666666667</v>
      </c>
      <c r="F61" s="551">
        <f t="shared" si="3"/>
        <v>6596</v>
      </c>
      <c r="G61" s="552">
        <f t="shared" si="2"/>
        <v>4692578.9333333392</v>
      </c>
    </row>
    <row r="62" spans="1:7" x14ac:dyDescent="0.2">
      <c r="A62" s="455">
        <f t="shared" si="0"/>
        <v>33</v>
      </c>
      <c r="B62" s="455" t="s">
        <v>61</v>
      </c>
      <c r="C62" s="553">
        <f t="shared" si="1"/>
        <v>161813.06666666662</v>
      </c>
      <c r="D62" s="551">
        <f t="shared" si="5"/>
        <v>147750.39999999997</v>
      </c>
      <c r="E62" s="551">
        <f t="shared" si="5"/>
        <v>7466.666666666667</v>
      </c>
      <c r="F62" s="551">
        <f t="shared" si="3"/>
        <v>6596</v>
      </c>
      <c r="G62" s="552">
        <f t="shared" si="2"/>
        <v>4530765.8666666728</v>
      </c>
    </row>
    <row r="63" spans="1:7" x14ac:dyDescent="0.2">
      <c r="A63" s="455">
        <f t="shared" si="0"/>
        <v>34</v>
      </c>
      <c r="B63" s="455" t="s">
        <v>62</v>
      </c>
      <c r="C63" s="553">
        <f t="shared" si="1"/>
        <v>161813.06666666662</v>
      </c>
      <c r="D63" s="551">
        <f t="shared" si="5"/>
        <v>147750.39999999997</v>
      </c>
      <c r="E63" s="551">
        <f t="shared" si="5"/>
        <v>7466.666666666667</v>
      </c>
      <c r="F63" s="551">
        <f t="shared" si="3"/>
        <v>6596</v>
      </c>
      <c r="G63" s="552">
        <f t="shared" si="2"/>
        <v>4368952.8000000063</v>
      </c>
    </row>
    <row r="64" spans="1:7" x14ac:dyDescent="0.2">
      <c r="A64" s="455">
        <f t="shared" si="0"/>
        <v>35</v>
      </c>
      <c r="B64" s="455" t="s">
        <v>63</v>
      </c>
      <c r="C64" s="553">
        <f t="shared" si="1"/>
        <v>161813.06666666662</v>
      </c>
      <c r="D64" s="551">
        <f t="shared" si="5"/>
        <v>147750.39999999997</v>
      </c>
      <c r="E64" s="551">
        <f t="shared" si="5"/>
        <v>7466.666666666667</v>
      </c>
      <c r="F64" s="551">
        <f t="shared" si="3"/>
        <v>6596</v>
      </c>
      <c r="G64" s="552">
        <f t="shared" si="2"/>
        <v>4207139.7333333399</v>
      </c>
    </row>
    <row r="65" spans="1:7" x14ac:dyDescent="0.2">
      <c r="A65" s="455">
        <f t="shared" si="0"/>
        <v>36</v>
      </c>
      <c r="B65" s="455" t="s">
        <v>64</v>
      </c>
      <c r="C65" s="553">
        <f t="shared" si="1"/>
        <v>161813.06666666662</v>
      </c>
      <c r="D65" s="551">
        <f t="shared" si="5"/>
        <v>147750.39999999997</v>
      </c>
      <c r="E65" s="551">
        <f t="shared" si="5"/>
        <v>7466.666666666667</v>
      </c>
      <c r="F65" s="551">
        <f t="shared" si="3"/>
        <v>6596</v>
      </c>
      <c r="G65" s="552">
        <f t="shared" si="2"/>
        <v>4045326.6666666735</v>
      </c>
    </row>
    <row r="66" spans="1:7" x14ac:dyDescent="0.2">
      <c r="A66" s="455">
        <f t="shared" si="0"/>
        <v>37</v>
      </c>
      <c r="B66" s="455" t="s">
        <v>65</v>
      </c>
      <c r="C66" s="553">
        <f t="shared" si="1"/>
        <v>161813.06666666662</v>
      </c>
      <c r="D66" s="551">
        <f t="shared" ref="D66:E81" si="6">D65</f>
        <v>147750.39999999997</v>
      </c>
      <c r="E66" s="551">
        <f t="shared" si="6"/>
        <v>7466.666666666667</v>
      </c>
      <c r="F66" s="551">
        <f t="shared" si="3"/>
        <v>6596</v>
      </c>
      <c r="G66" s="552">
        <f t="shared" si="2"/>
        <v>3883513.6000000071</v>
      </c>
    </row>
    <row r="67" spans="1:7" x14ac:dyDescent="0.2">
      <c r="A67" s="455">
        <f t="shared" si="0"/>
        <v>38</v>
      </c>
      <c r="B67" s="455" t="s">
        <v>66</v>
      </c>
      <c r="C67" s="553">
        <f t="shared" si="1"/>
        <v>161813.06666666662</v>
      </c>
      <c r="D67" s="551">
        <f t="shared" si="6"/>
        <v>147750.39999999997</v>
      </c>
      <c r="E67" s="551">
        <f t="shared" si="6"/>
        <v>7466.666666666667</v>
      </c>
      <c r="F67" s="551">
        <f t="shared" si="3"/>
        <v>6596</v>
      </c>
      <c r="G67" s="552">
        <f t="shared" si="2"/>
        <v>3721700.5333333407</v>
      </c>
    </row>
    <row r="68" spans="1:7" x14ac:dyDescent="0.2">
      <c r="A68" s="455">
        <f t="shared" si="0"/>
        <v>39</v>
      </c>
      <c r="B68" s="455" t="s">
        <v>67</v>
      </c>
      <c r="C68" s="553">
        <f t="shared" si="1"/>
        <v>161813.06666666662</v>
      </c>
      <c r="D68" s="551">
        <f t="shared" si="6"/>
        <v>147750.39999999997</v>
      </c>
      <c r="E68" s="551">
        <f t="shared" si="6"/>
        <v>7466.666666666667</v>
      </c>
      <c r="F68" s="551">
        <f t="shared" si="3"/>
        <v>6596</v>
      </c>
      <c r="G68" s="552">
        <f t="shared" si="2"/>
        <v>3559887.4666666742</v>
      </c>
    </row>
    <row r="69" spans="1:7" x14ac:dyDescent="0.2">
      <c r="A69" s="455">
        <f t="shared" si="0"/>
        <v>40</v>
      </c>
      <c r="B69" s="455" t="s">
        <v>68</v>
      </c>
      <c r="C69" s="553">
        <f t="shared" si="1"/>
        <v>161813.06666666662</v>
      </c>
      <c r="D69" s="551">
        <f t="shared" si="6"/>
        <v>147750.39999999997</v>
      </c>
      <c r="E69" s="551">
        <f t="shared" si="6"/>
        <v>7466.666666666667</v>
      </c>
      <c r="F69" s="551">
        <f t="shared" si="3"/>
        <v>6596</v>
      </c>
      <c r="G69" s="552">
        <f t="shared" si="2"/>
        <v>3398074.4000000078</v>
      </c>
    </row>
    <row r="70" spans="1:7" x14ac:dyDescent="0.2">
      <c r="A70" s="455">
        <f t="shared" si="0"/>
        <v>41</v>
      </c>
      <c r="B70" s="455" t="s">
        <v>69</v>
      </c>
      <c r="C70" s="553">
        <f t="shared" si="1"/>
        <v>161813.06666666662</v>
      </c>
      <c r="D70" s="551">
        <f t="shared" si="6"/>
        <v>147750.39999999997</v>
      </c>
      <c r="E70" s="551">
        <f t="shared" si="6"/>
        <v>7466.666666666667</v>
      </c>
      <c r="F70" s="551">
        <f t="shared" si="3"/>
        <v>6596</v>
      </c>
      <c r="G70" s="552">
        <f t="shared" si="2"/>
        <v>3236261.3333333414</v>
      </c>
    </row>
    <row r="71" spans="1:7" x14ac:dyDescent="0.2">
      <c r="A71" s="455">
        <f t="shared" si="0"/>
        <v>42</v>
      </c>
      <c r="B71" s="455" t="s">
        <v>70</v>
      </c>
      <c r="C71" s="553">
        <f t="shared" si="1"/>
        <v>161813.06666666662</v>
      </c>
      <c r="D71" s="551">
        <f t="shared" si="6"/>
        <v>147750.39999999997</v>
      </c>
      <c r="E71" s="551">
        <f t="shared" si="6"/>
        <v>7466.666666666667</v>
      </c>
      <c r="F71" s="551">
        <f t="shared" si="3"/>
        <v>6596</v>
      </c>
      <c r="G71" s="552">
        <f t="shared" si="2"/>
        <v>3074448.266666675</v>
      </c>
    </row>
    <row r="72" spans="1:7" x14ac:dyDescent="0.2">
      <c r="A72" s="455">
        <f t="shared" si="0"/>
        <v>43</v>
      </c>
      <c r="B72" s="455" t="s">
        <v>71</v>
      </c>
      <c r="C72" s="553">
        <f t="shared" si="1"/>
        <v>161813.06666666662</v>
      </c>
      <c r="D72" s="551">
        <f t="shared" si="6"/>
        <v>147750.39999999997</v>
      </c>
      <c r="E72" s="551">
        <f t="shared" si="6"/>
        <v>7466.666666666667</v>
      </c>
      <c r="F72" s="551">
        <f t="shared" si="3"/>
        <v>6596</v>
      </c>
      <c r="G72" s="552">
        <f t="shared" si="2"/>
        <v>2912635.2000000086</v>
      </c>
    </row>
    <row r="73" spans="1:7" x14ac:dyDescent="0.2">
      <c r="A73" s="455">
        <f t="shared" si="0"/>
        <v>44</v>
      </c>
      <c r="B73" s="455" t="s">
        <v>72</v>
      </c>
      <c r="C73" s="553">
        <f t="shared" si="1"/>
        <v>161813.06666666662</v>
      </c>
      <c r="D73" s="551">
        <f t="shared" si="6"/>
        <v>147750.39999999997</v>
      </c>
      <c r="E73" s="551">
        <f t="shared" si="6"/>
        <v>7466.666666666667</v>
      </c>
      <c r="F73" s="551">
        <f t="shared" si="3"/>
        <v>6596</v>
      </c>
      <c r="G73" s="552">
        <f t="shared" si="2"/>
        <v>2750822.1333333421</v>
      </c>
    </row>
    <row r="74" spans="1:7" x14ac:dyDescent="0.2">
      <c r="A74" s="455">
        <f t="shared" si="0"/>
        <v>45</v>
      </c>
      <c r="B74" s="455" t="s">
        <v>73</v>
      </c>
      <c r="C74" s="553">
        <f t="shared" si="1"/>
        <v>161813.06666666662</v>
      </c>
      <c r="D74" s="551">
        <f t="shared" si="6"/>
        <v>147750.39999999997</v>
      </c>
      <c r="E74" s="551">
        <f t="shared" si="6"/>
        <v>7466.666666666667</v>
      </c>
      <c r="F74" s="551">
        <f t="shared" si="3"/>
        <v>6596</v>
      </c>
      <c r="G74" s="552">
        <f t="shared" si="2"/>
        <v>2589009.0666666757</v>
      </c>
    </row>
    <row r="75" spans="1:7" x14ac:dyDescent="0.2">
      <c r="A75" s="455">
        <f t="shared" si="0"/>
        <v>46</v>
      </c>
      <c r="B75" s="455" t="s">
        <v>74</v>
      </c>
      <c r="C75" s="553">
        <f t="shared" si="1"/>
        <v>161813.06666666662</v>
      </c>
      <c r="D75" s="551">
        <f t="shared" si="6"/>
        <v>147750.39999999997</v>
      </c>
      <c r="E75" s="551">
        <f t="shared" si="6"/>
        <v>7466.666666666667</v>
      </c>
      <c r="F75" s="551">
        <f t="shared" si="3"/>
        <v>6596</v>
      </c>
      <c r="G75" s="552">
        <f t="shared" si="2"/>
        <v>2427196.0000000093</v>
      </c>
    </row>
    <row r="76" spans="1:7" x14ac:dyDescent="0.2">
      <c r="A76" s="455">
        <f t="shared" si="0"/>
        <v>47</v>
      </c>
      <c r="B76" s="455" t="s">
        <v>75</v>
      </c>
      <c r="C76" s="553">
        <f t="shared" si="1"/>
        <v>161813.06666666662</v>
      </c>
      <c r="D76" s="551">
        <f t="shared" si="6"/>
        <v>147750.39999999997</v>
      </c>
      <c r="E76" s="551">
        <f t="shared" si="6"/>
        <v>7466.666666666667</v>
      </c>
      <c r="F76" s="551">
        <f t="shared" si="3"/>
        <v>6596</v>
      </c>
      <c r="G76" s="552">
        <f t="shared" si="2"/>
        <v>2265382.9333333429</v>
      </c>
    </row>
    <row r="77" spans="1:7" x14ac:dyDescent="0.2">
      <c r="A77" s="455">
        <f t="shared" si="0"/>
        <v>48</v>
      </c>
      <c r="B77" s="455" t="s">
        <v>76</v>
      </c>
      <c r="C77" s="553">
        <f t="shared" si="1"/>
        <v>161813.06666666662</v>
      </c>
      <c r="D77" s="551">
        <f t="shared" si="6"/>
        <v>147750.39999999997</v>
      </c>
      <c r="E77" s="551">
        <f t="shared" si="6"/>
        <v>7466.666666666667</v>
      </c>
      <c r="F77" s="551">
        <f t="shared" si="3"/>
        <v>6596</v>
      </c>
      <c r="G77" s="552">
        <f t="shared" si="2"/>
        <v>2103569.8666666765</v>
      </c>
    </row>
    <row r="78" spans="1:7" x14ac:dyDescent="0.2">
      <c r="A78" s="455">
        <f t="shared" si="0"/>
        <v>49</v>
      </c>
      <c r="B78" s="455" t="s">
        <v>77</v>
      </c>
      <c r="C78" s="553">
        <f t="shared" si="1"/>
        <v>161813.06666666662</v>
      </c>
      <c r="D78" s="551">
        <f t="shared" si="6"/>
        <v>147750.39999999997</v>
      </c>
      <c r="E78" s="551">
        <f t="shared" si="6"/>
        <v>7466.666666666667</v>
      </c>
      <c r="F78" s="551">
        <f t="shared" si="3"/>
        <v>6596</v>
      </c>
      <c r="G78" s="552">
        <f t="shared" si="2"/>
        <v>1941756.8000000098</v>
      </c>
    </row>
    <row r="79" spans="1:7" x14ac:dyDescent="0.2">
      <c r="A79" s="455">
        <f t="shared" si="0"/>
        <v>50</v>
      </c>
      <c r="B79" s="455" t="s">
        <v>78</v>
      </c>
      <c r="C79" s="553">
        <f t="shared" si="1"/>
        <v>161813.06666666662</v>
      </c>
      <c r="D79" s="551">
        <f t="shared" si="6"/>
        <v>147750.39999999997</v>
      </c>
      <c r="E79" s="551">
        <f t="shared" si="6"/>
        <v>7466.666666666667</v>
      </c>
      <c r="F79" s="551">
        <f t="shared" si="3"/>
        <v>6596</v>
      </c>
      <c r="G79" s="552">
        <f t="shared" si="2"/>
        <v>1779943.7333333432</v>
      </c>
    </row>
    <row r="80" spans="1:7" x14ac:dyDescent="0.2">
      <c r="A80" s="455">
        <f t="shared" si="0"/>
        <v>51</v>
      </c>
      <c r="B80" s="455" t="s">
        <v>79</v>
      </c>
      <c r="C80" s="553">
        <f t="shared" si="1"/>
        <v>161813.06666666662</v>
      </c>
      <c r="D80" s="551">
        <f t="shared" si="6"/>
        <v>147750.39999999997</v>
      </c>
      <c r="E80" s="551">
        <f t="shared" si="6"/>
        <v>7466.666666666667</v>
      </c>
      <c r="F80" s="551">
        <f t="shared" si="3"/>
        <v>6596</v>
      </c>
      <c r="G80" s="552">
        <f t="shared" si="2"/>
        <v>1618130.6666666765</v>
      </c>
    </row>
    <row r="81" spans="1:8" x14ac:dyDescent="0.2">
      <c r="A81" s="455">
        <f t="shared" si="0"/>
        <v>52</v>
      </c>
      <c r="B81" s="455" t="s">
        <v>80</v>
      </c>
      <c r="C81" s="553">
        <f t="shared" si="1"/>
        <v>161813.06666666662</v>
      </c>
      <c r="D81" s="551">
        <f t="shared" si="6"/>
        <v>147750.39999999997</v>
      </c>
      <c r="E81" s="551">
        <f t="shared" si="6"/>
        <v>7466.666666666667</v>
      </c>
      <c r="F81" s="551">
        <f t="shared" si="3"/>
        <v>6596</v>
      </c>
      <c r="G81" s="552">
        <f t="shared" si="2"/>
        <v>1456317.6000000099</v>
      </c>
    </row>
    <row r="82" spans="1:8" x14ac:dyDescent="0.2">
      <c r="A82" s="455">
        <f t="shared" si="0"/>
        <v>53</v>
      </c>
      <c r="B82" s="455" t="s">
        <v>81</v>
      </c>
      <c r="C82" s="553">
        <f t="shared" si="1"/>
        <v>161813.06666666662</v>
      </c>
      <c r="D82" s="551">
        <f t="shared" ref="D82:E89" si="7">D81</f>
        <v>147750.39999999997</v>
      </c>
      <c r="E82" s="551">
        <f t="shared" si="7"/>
        <v>7466.666666666667</v>
      </c>
      <c r="F82" s="551">
        <f t="shared" si="3"/>
        <v>6596</v>
      </c>
      <c r="G82" s="552">
        <f t="shared" si="2"/>
        <v>1294504.5333333432</v>
      </c>
    </row>
    <row r="83" spans="1:8" x14ac:dyDescent="0.2">
      <c r="A83" s="455">
        <f t="shared" si="0"/>
        <v>54</v>
      </c>
      <c r="B83" s="455" t="s">
        <v>82</v>
      </c>
      <c r="C83" s="553">
        <f t="shared" si="1"/>
        <v>161813.06666666662</v>
      </c>
      <c r="D83" s="551">
        <f t="shared" si="7"/>
        <v>147750.39999999997</v>
      </c>
      <c r="E83" s="551">
        <f t="shared" si="7"/>
        <v>7466.666666666667</v>
      </c>
      <c r="F83" s="551">
        <f t="shared" si="3"/>
        <v>6596</v>
      </c>
      <c r="G83" s="552">
        <f t="shared" si="2"/>
        <v>1132691.4666666766</v>
      </c>
    </row>
    <row r="84" spans="1:8" x14ac:dyDescent="0.2">
      <c r="A84" s="455">
        <f t="shared" si="0"/>
        <v>55</v>
      </c>
      <c r="B84" s="455" t="s">
        <v>83</v>
      </c>
      <c r="C84" s="553">
        <f t="shared" si="1"/>
        <v>161813.06666666662</v>
      </c>
      <c r="D84" s="551">
        <f t="shared" si="7"/>
        <v>147750.39999999997</v>
      </c>
      <c r="E84" s="551">
        <f t="shared" si="7"/>
        <v>7466.666666666667</v>
      </c>
      <c r="F84" s="551">
        <f t="shared" si="3"/>
        <v>6596</v>
      </c>
      <c r="G84" s="552">
        <f t="shared" si="2"/>
        <v>970878.40000000992</v>
      </c>
    </row>
    <row r="85" spans="1:8" x14ac:dyDescent="0.2">
      <c r="A85" s="455">
        <f t="shared" si="0"/>
        <v>56</v>
      </c>
      <c r="B85" s="455" t="s">
        <v>84</v>
      </c>
      <c r="C85" s="553">
        <f t="shared" si="1"/>
        <v>161813.06666666662</v>
      </c>
      <c r="D85" s="551">
        <f t="shared" si="7"/>
        <v>147750.39999999997</v>
      </c>
      <c r="E85" s="551">
        <f t="shared" si="7"/>
        <v>7466.666666666667</v>
      </c>
      <c r="F85" s="551">
        <f t="shared" si="3"/>
        <v>6596</v>
      </c>
      <c r="G85" s="552">
        <f t="shared" si="2"/>
        <v>809065.33333334327</v>
      </c>
    </row>
    <row r="86" spans="1:8" x14ac:dyDescent="0.2">
      <c r="A86" s="455">
        <f t="shared" si="0"/>
        <v>57</v>
      </c>
      <c r="B86" s="455" t="s">
        <v>85</v>
      </c>
      <c r="C86" s="553">
        <f t="shared" si="1"/>
        <v>161813.06666666662</v>
      </c>
      <c r="D86" s="551">
        <f t="shared" si="7"/>
        <v>147750.39999999997</v>
      </c>
      <c r="E86" s="551">
        <f t="shared" si="7"/>
        <v>7466.666666666667</v>
      </c>
      <c r="F86" s="551">
        <f t="shared" si="3"/>
        <v>6596</v>
      </c>
      <c r="G86" s="552">
        <f t="shared" si="2"/>
        <v>647252.26666667662</v>
      </c>
    </row>
    <row r="87" spans="1:8" x14ac:dyDescent="0.2">
      <c r="A87" s="455">
        <f t="shared" si="0"/>
        <v>58</v>
      </c>
      <c r="B87" s="455" t="s">
        <v>86</v>
      </c>
      <c r="C87" s="553">
        <f t="shared" si="1"/>
        <v>161813.06666666662</v>
      </c>
      <c r="D87" s="551">
        <f t="shared" si="7"/>
        <v>147750.39999999997</v>
      </c>
      <c r="E87" s="551">
        <f t="shared" si="7"/>
        <v>7466.666666666667</v>
      </c>
      <c r="F87" s="551">
        <f t="shared" si="3"/>
        <v>6596</v>
      </c>
      <c r="G87" s="552">
        <f t="shared" si="2"/>
        <v>485439.20000000997</v>
      </c>
    </row>
    <row r="88" spans="1:8" x14ac:dyDescent="0.2">
      <c r="A88" s="455">
        <f t="shared" si="0"/>
        <v>59</v>
      </c>
      <c r="B88" s="455" t="s">
        <v>87</v>
      </c>
      <c r="C88" s="553">
        <f t="shared" si="1"/>
        <v>161813.06666666662</v>
      </c>
      <c r="D88" s="551">
        <f t="shared" si="7"/>
        <v>147750.39999999997</v>
      </c>
      <c r="E88" s="551">
        <f t="shared" si="7"/>
        <v>7466.666666666667</v>
      </c>
      <c r="F88" s="551">
        <f t="shared" si="3"/>
        <v>6596</v>
      </c>
      <c r="G88" s="552">
        <f t="shared" si="2"/>
        <v>323626.13333334331</v>
      </c>
    </row>
    <row r="89" spans="1:8" x14ac:dyDescent="0.2">
      <c r="A89" s="455">
        <f t="shared" si="0"/>
        <v>60</v>
      </c>
      <c r="B89" s="455" t="s">
        <v>88</v>
      </c>
      <c r="C89" s="553">
        <f t="shared" si="1"/>
        <v>161813.06666666662</v>
      </c>
      <c r="D89" s="551">
        <f t="shared" si="7"/>
        <v>147750.39999999997</v>
      </c>
      <c r="E89" s="551">
        <f t="shared" si="7"/>
        <v>7466.666666666667</v>
      </c>
      <c r="F89" s="551">
        <f t="shared" si="3"/>
        <v>6596</v>
      </c>
      <c r="G89" s="552">
        <f t="shared" si="2"/>
        <v>161813.06666667669</v>
      </c>
      <c r="H89" s="520"/>
    </row>
    <row r="90" spans="1:8" x14ac:dyDescent="0.2">
      <c r="A90" s="455">
        <f t="shared" si="0"/>
        <v>61</v>
      </c>
      <c r="B90" s="455" t="s">
        <v>89</v>
      </c>
      <c r="C90" s="553">
        <f t="shared" si="1"/>
        <v>161813.06666664989</v>
      </c>
      <c r="D90" s="551">
        <f>(D22+D23)-(SUM(D29:D89))</f>
        <v>147750.39999998361</v>
      </c>
      <c r="E90" s="551">
        <f>D25-(SUM(E29:E89))</f>
        <v>7466.6666666662786</v>
      </c>
      <c r="F90" s="551">
        <f t="shared" si="3"/>
        <v>6596</v>
      </c>
      <c r="G90" s="552">
        <f t="shared" si="2"/>
        <v>2.6804627850651741E-8</v>
      </c>
    </row>
    <row r="91" spans="1:8" x14ac:dyDescent="0.2">
      <c r="A91" s="476"/>
      <c r="B91" s="476"/>
      <c r="C91" s="477"/>
      <c r="D91" s="478"/>
      <c r="E91" s="478"/>
      <c r="F91" s="478"/>
      <c r="G91" s="479"/>
    </row>
    <row r="92" spans="1:8" x14ac:dyDescent="0.2">
      <c r="A92" s="618" t="s">
        <v>113</v>
      </c>
      <c r="B92" s="621"/>
      <c r="C92" s="622"/>
      <c r="D92" s="623"/>
      <c r="E92" s="623"/>
      <c r="F92" s="623"/>
      <c r="G92" s="623"/>
    </row>
    <row r="93" spans="1:8" x14ac:dyDescent="0.2">
      <c r="A93" s="701" t="s">
        <v>531</v>
      </c>
      <c r="B93" s="701"/>
      <c r="C93" s="701"/>
      <c r="D93" s="701"/>
      <c r="E93" s="701"/>
      <c r="F93" s="701"/>
      <c r="G93" s="701"/>
      <c r="H93" s="614"/>
    </row>
    <row r="94" spans="1:8" x14ac:dyDescent="0.2">
      <c r="A94" s="674" t="s">
        <v>610</v>
      </c>
      <c r="B94" s="674"/>
      <c r="C94" s="674"/>
      <c r="D94" s="674"/>
      <c r="E94" s="674"/>
      <c r="F94" s="674"/>
      <c r="G94" s="674"/>
      <c r="H94" s="615"/>
    </row>
    <row r="95" spans="1:8" x14ac:dyDescent="0.2">
      <c r="A95" s="674" t="s">
        <v>532</v>
      </c>
      <c r="B95" s="674"/>
      <c r="C95" s="674"/>
      <c r="D95" s="674"/>
      <c r="E95" s="674"/>
      <c r="F95" s="674"/>
      <c r="G95" s="674"/>
      <c r="H95" s="615"/>
    </row>
    <row r="96" spans="1:8" x14ac:dyDescent="0.2">
      <c r="A96" s="674" t="s">
        <v>533</v>
      </c>
      <c r="B96" s="674"/>
      <c r="C96" s="674"/>
      <c r="D96" s="674"/>
      <c r="E96" s="674"/>
      <c r="F96" s="674"/>
      <c r="G96" s="674"/>
      <c r="H96" s="615"/>
    </row>
    <row r="97" spans="1:8" ht="108" customHeight="1" x14ac:dyDescent="0.2">
      <c r="A97" s="674" t="s">
        <v>684</v>
      </c>
      <c r="B97" s="674"/>
      <c r="C97" s="674"/>
      <c r="D97" s="674"/>
      <c r="E97" s="674"/>
      <c r="F97" s="674"/>
      <c r="G97" s="674"/>
      <c r="H97" s="615"/>
    </row>
    <row r="98" spans="1:8" ht="27" customHeight="1" x14ac:dyDescent="0.2">
      <c r="A98" s="675" t="s">
        <v>683</v>
      </c>
      <c r="B98" s="675"/>
      <c r="C98" s="675"/>
      <c r="D98" s="675"/>
      <c r="E98" s="675"/>
      <c r="F98" s="675"/>
      <c r="G98" s="675"/>
      <c r="H98" s="616"/>
    </row>
    <row r="99" spans="1:8" x14ac:dyDescent="0.2">
      <c r="A99" s="675" t="s">
        <v>685</v>
      </c>
      <c r="B99" s="675"/>
      <c r="C99" s="675"/>
      <c r="D99" s="675"/>
      <c r="E99" s="675"/>
      <c r="F99" s="675"/>
      <c r="G99" s="675"/>
      <c r="H99" s="616"/>
    </row>
    <row r="100" spans="1:8" x14ac:dyDescent="0.2">
      <c r="A100" s="675" t="s">
        <v>686</v>
      </c>
      <c r="B100" s="675"/>
      <c r="C100" s="675"/>
      <c r="D100" s="675"/>
      <c r="E100" s="675"/>
      <c r="F100" s="675"/>
      <c r="G100" s="675"/>
      <c r="H100" s="616"/>
    </row>
    <row r="101" spans="1:8" x14ac:dyDescent="0.2">
      <c r="A101" s="413"/>
      <c r="B101" s="413"/>
      <c r="C101" s="413"/>
      <c r="D101" s="413"/>
      <c r="E101" s="413"/>
      <c r="F101" s="413"/>
      <c r="G101" s="413"/>
      <c r="H101" s="413"/>
    </row>
    <row r="102" spans="1:8" x14ac:dyDescent="0.2">
      <c r="A102" s="620" t="s">
        <v>91</v>
      </c>
    </row>
    <row r="103" spans="1:8" ht="15" customHeight="1" x14ac:dyDescent="0.2"/>
    <row r="104" spans="1:8" ht="15" customHeight="1" x14ac:dyDescent="0.2">
      <c r="A104" s="481"/>
      <c r="B104" s="482"/>
      <c r="F104" s="483"/>
      <c r="G104" s="483"/>
    </row>
    <row r="105" spans="1:8" x14ac:dyDescent="0.2">
      <c r="A105" s="702" t="s">
        <v>422</v>
      </c>
      <c r="B105" s="702"/>
      <c r="E105" s="703" t="s">
        <v>447</v>
      </c>
      <c r="F105" s="703"/>
      <c r="G105" s="703"/>
    </row>
    <row r="106" spans="1:8" x14ac:dyDescent="0.2">
      <c r="A106" s="554"/>
      <c r="B106" s="555"/>
      <c r="C106" s="554"/>
      <c r="D106" s="480"/>
      <c r="E106" s="480"/>
      <c r="F106" s="480"/>
      <c r="G106"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95:G95"/>
    <mergeCell ref="D19:E19"/>
    <mergeCell ref="D20:E20"/>
    <mergeCell ref="D21:E21"/>
    <mergeCell ref="D22:E22"/>
    <mergeCell ref="D23:E23"/>
    <mergeCell ref="D24:E24"/>
    <mergeCell ref="D25:E25"/>
    <mergeCell ref="D26:E26"/>
    <mergeCell ref="I29:J29"/>
    <mergeCell ref="A93:G93"/>
    <mergeCell ref="A94:G94"/>
    <mergeCell ref="A105:B105"/>
    <mergeCell ref="E105:G105"/>
    <mergeCell ref="A96:G96"/>
    <mergeCell ref="A97:G97"/>
    <mergeCell ref="A98:G98"/>
    <mergeCell ref="A99:G99"/>
    <mergeCell ref="A100:G100"/>
  </mergeCells>
  <hyperlinks>
    <hyperlink ref="G6" location="INPUT!A1" display="BACK TO INPUT" xr:uid="{00000000-0004-0000-0500-000000000000}"/>
  </hyperlinks>
  <printOptions horizontalCentered="1" verticalCentered="1"/>
  <pageMargins left="0.25" right="0.25" top="0.5" bottom="0.5" header="0.3" footer="0.3"/>
  <pageSetup paperSize="195" scale="80" orientation="portrait" horizontalDpi="200" verticalDpi="200" r:id="rId1"/>
  <headerFooter>
    <oddFooter>Page &amp;P of &amp;N</oddFooter>
  </headerFooter>
  <rowBreaks count="1" manualBreakCount="1">
    <brk id="55"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00000"/>
    <pageSetUpPr fitToPage="1"/>
  </sheetPr>
  <dimension ref="A1:O40"/>
  <sheetViews>
    <sheetView showGridLines="0" zoomScaleNormal="100" workbookViewId="0">
      <selection activeCell="G11" sqref="G11"/>
    </sheetView>
  </sheetViews>
  <sheetFormatPr baseColWidth="10" defaultColWidth="0" defaultRowHeight="15" x14ac:dyDescent="0.2"/>
  <cols>
    <col min="1" max="1" width="22.5" style="26" customWidth="1"/>
    <col min="2" max="2" width="15.6640625" style="25" customWidth="1"/>
    <col min="3" max="3" width="15.6640625" style="26" customWidth="1"/>
    <col min="4" max="4" width="15.5" style="27" bestFit="1" customWidth="1"/>
    <col min="5" max="5" width="14.33203125" style="27" bestFit="1" customWidth="1"/>
    <col min="6" max="6" width="13.83203125" style="27" bestFit="1" customWidth="1"/>
    <col min="7" max="7" width="21" style="27" bestFit="1"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4" ht="20" customHeight="1" x14ac:dyDescent="0.2">
      <c r="A1" s="70" t="s">
        <v>2</v>
      </c>
      <c r="B1" s="734">
        <f>INPUT!D30</f>
        <v>0</v>
      </c>
      <c r="C1" s="735"/>
      <c r="I1" s="47" t="str">
        <f>INPUT!D32</f>
        <v>MIRANDA 715-B</v>
      </c>
      <c r="K1" s="71" t="e">
        <f>VLOOKUP($I$1,#REF!,44,FALSE)</f>
        <v>#REF!</v>
      </c>
      <c r="M1" s="72"/>
      <c r="N1" s="71"/>
    </row>
    <row r="2" spans="1:14" x14ac:dyDescent="0.2">
      <c r="A2" s="294" t="s">
        <v>3</v>
      </c>
      <c r="B2" s="736" t="str">
        <f>INPUT!D31</f>
        <v>New Buyer</v>
      </c>
      <c r="C2" s="736"/>
      <c r="I2" s="47" t="str">
        <f>INPUT!D37</f>
        <v>No</v>
      </c>
      <c r="J2" s="47" t="s">
        <v>108</v>
      </c>
      <c r="K2" s="71">
        <f>700000*1</f>
        <v>700000</v>
      </c>
      <c r="L2" s="73"/>
      <c r="M2" s="72"/>
      <c r="N2" s="26" t="s">
        <v>429</v>
      </c>
    </row>
    <row r="3" spans="1:14" x14ac:dyDescent="0.2">
      <c r="A3" s="291" t="s">
        <v>96</v>
      </c>
      <c r="B3" s="733" t="e">
        <f>VLOOKUP('RFO1'!I1,#REF!,2,FALSE)</f>
        <v>#REF!</v>
      </c>
      <c r="C3" s="733"/>
      <c r="J3" s="47" t="s">
        <v>109</v>
      </c>
      <c r="L3" s="73"/>
      <c r="M3" s="72"/>
      <c r="N3" s="26" t="s">
        <v>433</v>
      </c>
    </row>
    <row r="4" spans="1:14" x14ac:dyDescent="0.2">
      <c r="A4" s="291" t="s">
        <v>9</v>
      </c>
      <c r="B4" s="733" t="e">
        <f>VLOOKUP($I$1,#REF!,3,FALSE)</f>
        <v>#REF!</v>
      </c>
      <c r="C4" s="733"/>
      <c r="D4" s="74"/>
      <c r="E4" s="74"/>
      <c r="J4" s="47" t="s">
        <v>110</v>
      </c>
      <c r="L4" s="73"/>
      <c r="M4" s="72"/>
      <c r="N4" s="26" t="s">
        <v>434</v>
      </c>
    </row>
    <row r="5" spans="1:14" x14ac:dyDescent="0.2">
      <c r="A5" s="291" t="s">
        <v>4</v>
      </c>
      <c r="B5" s="733" t="e">
        <f>VLOOKUP($I$1,#REF!,5,FALSE)</f>
        <v>#REF!</v>
      </c>
      <c r="C5" s="733"/>
      <c r="D5" s="74"/>
      <c r="E5" s="74"/>
      <c r="L5" s="73"/>
      <c r="M5" s="72"/>
    </row>
    <row r="6" spans="1:14" x14ac:dyDescent="0.2">
      <c r="A6" s="291" t="s">
        <v>8</v>
      </c>
      <c r="B6" s="733" t="e">
        <f>VLOOKUP($I$1,#REF!,10,FALSE)</f>
        <v>#REF!</v>
      </c>
      <c r="C6" s="733"/>
      <c r="D6" s="74"/>
      <c r="E6" s="74"/>
      <c r="L6" s="73"/>
      <c r="M6" s="72"/>
    </row>
    <row r="7" spans="1:14" x14ac:dyDescent="0.2">
      <c r="A7" s="291" t="s">
        <v>10</v>
      </c>
      <c r="B7" s="733" t="e">
        <f>VLOOKUP($I$1,#REF!,6,FALSE)</f>
        <v>#REF!</v>
      </c>
      <c r="C7" s="733"/>
      <c r="D7" s="74"/>
      <c r="E7" s="74"/>
      <c r="L7" s="73"/>
    </row>
    <row r="8" spans="1:14" ht="30" customHeight="1" x14ac:dyDescent="0.2">
      <c r="A8" s="291" t="s">
        <v>23</v>
      </c>
      <c r="B8" s="729" t="str">
        <f>INPUT!F30</f>
        <v>20% in 30 days / 80% in 60 days</v>
      </c>
      <c r="C8" s="729"/>
      <c r="D8" s="74"/>
      <c r="E8" s="74"/>
      <c r="G8" s="76" t="s">
        <v>412</v>
      </c>
      <c r="L8" s="73"/>
    </row>
    <row r="9" spans="1:14" x14ac:dyDescent="0.2">
      <c r="L9" s="73"/>
    </row>
    <row r="10" spans="1:14" x14ac:dyDescent="0.2">
      <c r="L10" s="73"/>
    </row>
    <row r="11" spans="1:14" ht="19" x14ac:dyDescent="0.25">
      <c r="A11" s="77" t="s">
        <v>24</v>
      </c>
      <c r="K11" s="26"/>
      <c r="L11" s="73"/>
    </row>
    <row r="12" spans="1:14" ht="19" x14ac:dyDescent="0.25">
      <c r="A12" s="77"/>
      <c r="D12" s="730" t="s">
        <v>106</v>
      </c>
      <c r="E12" s="730"/>
      <c r="F12" s="78" t="s">
        <v>107</v>
      </c>
      <c r="G12" s="78" t="s">
        <v>7</v>
      </c>
      <c r="K12" s="71" t="s">
        <v>260</v>
      </c>
      <c r="L12" s="73"/>
    </row>
    <row r="13" spans="1:14" x14ac:dyDescent="0.2">
      <c r="A13" s="26" t="s">
        <v>127</v>
      </c>
      <c r="D13" s="720" t="e">
        <f>K1</f>
        <v>#REF!</v>
      </c>
      <c r="E13" s="720"/>
      <c r="F13" s="27">
        <f>IF(I2=J2,K2,0)</f>
        <v>0</v>
      </c>
      <c r="G13" s="27" t="e">
        <f>D13+F13</f>
        <v>#REF!</v>
      </c>
      <c r="I13" s="79"/>
      <c r="L13" s="73"/>
    </row>
    <row r="14" spans="1:14" x14ac:dyDescent="0.2">
      <c r="A14" s="80" t="str">
        <f>IF(INPUT!$D$37=INPUT!$N$12,"          Bundled Share Promo","")</f>
        <v/>
      </c>
      <c r="C14" s="81"/>
      <c r="D14" s="721">
        <f>IF(INPUT!$D$37=INPUT!$N$12,INPUT!$D$38,0)</f>
        <v>0</v>
      </c>
      <c r="E14" s="721"/>
      <c r="F14" s="82">
        <v>0</v>
      </c>
      <c r="G14" s="82">
        <f>D14+F14</f>
        <v>0</v>
      </c>
      <c r="H14" s="81"/>
      <c r="I14" s="79"/>
      <c r="J14" s="83"/>
      <c r="K14" s="83"/>
      <c r="L14" s="73"/>
    </row>
    <row r="15" spans="1:14" x14ac:dyDescent="0.2">
      <c r="A15" s="80" t="str">
        <f>IF(INPUT!$G$30=INPUT!$N$20,N3,"")</f>
        <v xml:space="preserve">          Less: Term Discount</v>
      </c>
      <c r="C15" s="84">
        <f>IF(INPUT!$G$30=INPUT!$N$20,'RFO1'!$H$15,"")</f>
        <v>0.15</v>
      </c>
      <c r="D15" s="731" t="e">
        <f>(D13-D14)*H15</f>
        <v>#REF!</v>
      </c>
      <c r="E15" s="731"/>
      <c r="F15" s="82">
        <v>0</v>
      </c>
      <c r="G15" s="82" t="e">
        <f>D15+F15</f>
        <v>#REF!</v>
      </c>
      <c r="H15" s="85">
        <f>IF(INPUT!$G$30=INPUT!$N$20,INPUT!$G$31,"0")</f>
        <v>0.15</v>
      </c>
      <c r="I15" s="86"/>
      <c r="L15" s="73"/>
    </row>
    <row r="16" spans="1:14" s="93" customFormat="1" x14ac:dyDescent="0.2">
      <c r="A16" s="87" t="str">
        <f>IF(INPUT!$G$30=INPUT!$N$20,N4,"List Price (VAT-IN)")</f>
        <v>Discounted List Price (VAT-IN)</v>
      </c>
      <c r="B16" s="88"/>
      <c r="C16" s="89"/>
      <c r="D16" s="726" t="e">
        <f>D13-D15-D14</f>
        <v>#REF!</v>
      </c>
      <c r="E16" s="726"/>
      <c r="F16" s="90">
        <f>F13-F14-F15</f>
        <v>0</v>
      </c>
      <c r="G16" s="90" t="e">
        <f>SUM(D16:F16)</f>
        <v>#REF!</v>
      </c>
      <c r="H16" s="91"/>
      <c r="I16" s="92"/>
    </row>
    <row r="17" spans="1:15" s="100" customFormat="1" x14ac:dyDescent="0.2">
      <c r="A17" s="94" t="str">
        <f>IF(INPUT!$G$30=INPUT!$N$20,"          Discounted List Price (VAT-EX)","          List Price (VAT-EX)")</f>
        <v xml:space="preserve">          Discounted List Price (VAT-EX)</v>
      </c>
      <c r="B17" s="95"/>
      <c r="C17" s="91"/>
      <c r="D17" s="96"/>
      <c r="E17" s="97" t="e">
        <f>D16/1.12</f>
        <v>#REF!</v>
      </c>
      <c r="F17" s="98">
        <v>0</v>
      </c>
      <c r="G17" s="98" t="e">
        <f>SUM(E17:F17)</f>
        <v>#REF!</v>
      </c>
      <c r="H17" s="91"/>
      <c r="I17" s="99"/>
    </row>
    <row r="18" spans="1:15" x14ac:dyDescent="0.2">
      <c r="A18" s="80" t="str">
        <f>IF(INPUT!$D$31=INPUT!$Q$14,"          Less: Employee Disct","")</f>
        <v/>
      </c>
      <c r="C18" s="101" t="str">
        <f>IF($A$18=$N$2,5%,"")</f>
        <v/>
      </c>
      <c r="E18" s="293">
        <f>IF(A18=N2,(E17)*0.05,0)</f>
        <v>0</v>
      </c>
      <c r="F18" s="82">
        <v>0</v>
      </c>
      <c r="G18" s="82">
        <f>SUM(E18:F18)</f>
        <v>0</v>
      </c>
      <c r="H18" s="81"/>
      <c r="I18" s="102"/>
      <c r="J18" s="103"/>
      <c r="K18" s="104"/>
      <c r="L18" s="73"/>
      <c r="M18" s="93"/>
      <c r="N18" s="93"/>
      <c r="O18" s="93"/>
    </row>
    <row r="19" spans="1:15" x14ac:dyDescent="0.2">
      <c r="A19" s="105" t="s">
        <v>432</v>
      </c>
      <c r="B19" s="106"/>
      <c r="C19" s="107"/>
      <c r="D19" s="726" t="e">
        <f>E17-E18</f>
        <v>#REF!</v>
      </c>
      <c r="E19" s="726"/>
      <c r="F19" s="108">
        <f>F16</f>
        <v>0</v>
      </c>
      <c r="G19" s="108" t="e">
        <f>SUM(D19:F19)</f>
        <v>#REF!</v>
      </c>
      <c r="H19" s="81"/>
    </row>
    <row r="20" spans="1:15" x14ac:dyDescent="0.2">
      <c r="A20" s="80" t="s">
        <v>128</v>
      </c>
      <c r="C20" s="84">
        <v>0.12</v>
      </c>
      <c r="D20" s="727" t="e">
        <f>D19*C20</f>
        <v>#REF!</v>
      </c>
      <c r="E20" s="728"/>
      <c r="F20" s="109">
        <v>0</v>
      </c>
      <c r="G20" s="109" t="e">
        <f>SUM(D20:F20)</f>
        <v>#REF!</v>
      </c>
      <c r="H20" s="81"/>
    </row>
    <row r="21" spans="1:15" x14ac:dyDescent="0.2">
      <c r="A21" s="80" t="s">
        <v>129</v>
      </c>
      <c r="C21" s="110">
        <v>3.5000000000000003E-2</v>
      </c>
      <c r="D21" s="728" t="e">
        <f>D19*C21</f>
        <v>#REF!</v>
      </c>
      <c r="E21" s="728"/>
      <c r="F21" s="109">
        <v>0</v>
      </c>
      <c r="G21" s="111" t="e">
        <f>SUM(D21:F21)</f>
        <v>#REF!</v>
      </c>
    </row>
    <row r="22" spans="1:15" s="93" customFormat="1" x14ac:dyDescent="0.2">
      <c r="A22" s="112" t="s">
        <v>101</v>
      </c>
      <c r="B22" s="113"/>
      <c r="C22" s="114"/>
      <c r="D22" s="732" t="e">
        <f>SUM(D19:E21)</f>
        <v>#REF!</v>
      </c>
      <c r="E22" s="732"/>
      <c r="F22" s="115">
        <f>SUM(F19:F21)</f>
        <v>0</v>
      </c>
      <c r="G22" s="115" t="e">
        <f>SUM(D22:F22)</f>
        <v>#REF!</v>
      </c>
      <c r="I22" s="103"/>
      <c r="J22" s="103"/>
      <c r="K22" s="104"/>
      <c r="L22" s="103"/>
    </row>
    <row r="24" spans="1:15" x14ac:dyDescent="0.2">
      <c r="A24" s="116" t="s">
        <v>25</v>
      </c>
      <c r="B24" s="116" t="s">
        <v>26</v>
      </c>
      <c r="C24" s="116" t="s">
        <v>27</v>
      </c>
      <c r="D24" s="117" t="s">
        <v>106</v>
      </c>
      <c r="E24" s="117" t="s">
        <v>121</v>
      </c>
      <c r="F24" s="117" t="s">
        <v>90</v>
      </c>
      <c r="G24" s="117" t="s">
        <v>28</v>
      </c>
      <c r="I24" s="72"/>
    </row>
    <row r="25" spans="1:15" x14ac:dyDescent="0.2">
      <c r="A25" s="118">
        <v>0</v>
      </c>
      <c r="B25" s="118" t="s">
        <v>29</v>
      </c>
      <c r="C25" s="119">
        <f>SUM(D25:E25)</f>
        <v>100000</v>
      </c>
      <c r="D25" s="119">
        <f>IF($I$2=$J$2,75000,100000)</f>
        <v>100000</v>
      </c>
      <c r="E25" s="119">
        <f>IF($I$2=$J$2,25000,0)</f>
        <v>0</v>
      </c>
      <c r="F25" s="119"/>
      <c r="G25" s="120" t="e">
        <f>G22-C25-F25</f>
        <v>#REF!</v>
      </c>
    </row>
    <row r="26" spans="1:15" x14ac:dyDescent="0.2">
      <c r="A26" s="118">
        <v>1</v>
      </c>
      <c r="B26" s="118" t="s">
        <v>102</v>
      </c>
      <c r="C26" s="119" t="e">
        <f>SUM(D26:E26)</f>
        <v>#REF!</v>
      </c>
      <c r="D26" s="119" t="e">
        <f>(D19+D20)*I26-D25</f>
        <v>#REF!</v>
      </c>
      <c r="E26" s="119">
        <f>(F22*I26)-E25</f>
        <v>0</v>
      </c>
      <c r="F26" s="119" t="e">
        <f>D21</f>
        <v>#REF!</v>
      </c>
      <c r="G26" s="120" t="e">
        <f>G25-C26-F26</f>
        <v>#REF!</v>
      </c>
      <c r="I26" s="121">
        <v>0.2</v>
      </c>
    </row>
    <row r="27" spans="1:15" s="48" customFormat="1" x14ac:dyDescent="0.2">
      <c r="A27" s="118">
        <v>2</v>
      </c>
      <c r="B27" s="118" t="s">
        <v>104</v>
      </c>
      <c r="C27" s="119" t="e">
        <f>SUM(D27:E27)</f>
        <v>#REF!</v>
      </c>
      <c r="D27" s="119" t="e">
        <f>(D19+D20)*I27</f>
        <v>#REF!</v>
      </c>
      <c r="E27" s="119">
        <f>F16*I27</f>
        <v>0</v>
      </c>
      <c r="F27" s="119"/>
      <c r="G27" s="120" t="e">
        <f>G26-C27-F27</f>
        <v>#REF!</v>
      </c>
      <c r="I27" s="122">
        <v>0.8</v>
      </c>
      <c r="J27" s="49"/>
      <c r="K27" s="123"/>
      <c r="L27" s="49"/>
    </row>
    <row r="28" spans="1:15" x14ac:dyDescent="0.2">
      <c r="A28" s="10" t="s">
        <v>113</v>
      </c>
      <c r="B28" s="124"/>
      <c r="C28" s="125"/>
      <c r="D28" s="126"/>
      <c r="E28" s="126"/>
      <c r="F28" s="126"/>
      <c r="G28" s="82"/>
    </row>
    <row r="29" spans="1:15" x14ac:dyDescent="0.2">
      <c r="A29" s="723" t="s">
        <v>114</v>
      </c>
      <c r="B29" s="723"/>
      <c r="C29" s="723"/>
      <c r="D29" s="723"/>
      <c r="E29" s="723"/>
      <c r="F29" s="723"/>
      <c r="G29" s="723"/>
    </row>
    <row r="30" spans="1:15" ht="28.5" customHeight="1" x14ac:dyDescent="0.2">
      <c r="A30" s="722" t="s">
        <v>115</v>
      </c>
      <c r="B30" s="722"/>
      <c r="C30" s="722"/>
      <c r="D30" s="722"/>
      <c r="E30" s="722"/>
      <c r="F30" s="722"/>
      <c r="G30" s="722"/>
    </row>
    <row r="31" spans="1:15" x14ac:dyDescent="0.2">
      <c r="A31" s="722" t="s">
        <v>116</v>
      </c>
      <c r="B31" s="722"/>
      <c r="C31" s="722"/>
      <c r="D31" s="722"/>
      <c r="E31" s="722"/>
      <c r="F31" s="722"/>
      <c r="G31" s="722"/>
    </row>
    <row r="32" spans="1:15" ht="27.75" customHeight="1" x14ac:dyDescent="0.2">
      <c r="A32" s="722" t="s">
        <v>117</v>
      </c>
      <c r="B32" s="722"/>
      <c r="C32" s="722"/>
      <c r="D32" s="722"/>
      <c r="E32" s="722"/>
      <c r="F32" s="722"/>
      <c r="G32" s="722"/>
    </row>
    <row r="33" spans="1:10" x14ac:dyDescent="0.2">
      <c r="A33" s="723" t="s">
        <v>118</v>
      </c>
      <c r="B33" s="723"/>
      <c r="C33" s="723"/>
      <c r="D33" s="723"/>
      <c r="E33" s="723"/>
      <c r="F33" s="723"/>
      <c r="G33" s="723"/>
      <c r="H33" s="81"/>
      <c r="I33" s="127"/>
      <c r="J33" s="127"/>
    </row>
    <row r="34" spans="1:10" ht="21" customHeight="1" x14ac:dyDescent="0.2">
      <c r="A34" s="725" t="s">
        <v>119</v>
      </c>
      <c r="B34" s="725"/>
      <c r="C34" s="725"/>
      <c r="D34" s="725"/>
      <c r="E34" s="725"/>
      <c r="F34" s="725"/>
      <c r="G34" s="725"/>
      <c r="H34" s="81"/>
      <c r="I34" s="127"/>
      <c r="J34" s="127"/>
    </row>
    <row r="35" spans="1:10" ht="27" customHeight="1" x14ac:dyDescent="0.2">
      <c r="A35" s="725" t="s">
        <v>414</v>
      </c>
      <c r="B35" s="725"/>
      <c r="C35" s="725"/>
      <c r="D35" s="725"/>
      <c r="E35" s="725"/>
      <c r="F35" s="725"/>
      <c r="G35" s="725"/>
      <c r="H35" s="81"/>
      <c r="I35" s="127"/>
      <c r="J35" s="127"/>
    </row>
    <row r="36" spans="1:10" x14ac:dyDescent="0.2">
      <c r="A36" s="722" t="s">
        <v>413</v>
      </c>
      <c r="B36" s="722"/>
      <c r="C36" s="722"/>
      <c r="D36" s="722"/>
      <c r="E36" s="722"/>
      <c r="F36" s="722"/>
      <c r="G36" s="722"/>
      <c r="H36" s="81"/>
      <c r="I36" s="127"/>
      <c r="J36" s="127"/>
    </row>
    <row r="37" spans="1:10" x14ac:dyDescent="0.2">
      <c r="A37" s="26" t="s">
        <v>91</v>
      </c>
      <c r="H37" s="81"/>
      <c r="I37" s="127"/>
      <c r="J37" s="127"/>
    </row>
    <row r="38" spans="1:10" x14ac:dyDescent="0.2">
      <c r="H38" s="81"/>
      <c r="I38" s="127"/>
      <c r="J38" s="127"/>
    </row>
    <row r="39" spans="1:10" x14ac:dyDescent="0.2">
      <c r="A39" s="128"/>
      <c r="B39" s="129"/>
      <c r="F39" s="130"/>
      <c r="G39" s="130"/>
      <c r="H39" s="81"/>
      <c r="I39" s="127"/>
      <c r="J39" s="127"/>
    </row>
    <row r="40" spans="1:10" x14ac:dyDescent="0.2">
      <c r="A40" s="724" t="s">
        <v>92</v>
      </c>
      <c r="B40" s="724"/>
      <c r="F40" s="720" t="s">
        <v>93</v>
      </c>
      <c r="G40" s="720"/>
      <c r="H40" s="81"/>
      <c r="I40" s="127"/>
      <c r="J40" s="127"/>
    </row>
  </sheetData>
  <sheetProtection sheet="1" objects="1" scenarios="1" selectLockedCells="1"/>
  <mergeCells count="27">
    <mergeCell ref="B7:C7"/>
    <mergeCell ref="B1:C1"/>
    <mergeCell ref="B3:C3"/>
    <mergeCell ref="B4:C4"/>
    <mergeCell ref="B5:C5"/>
    <mergeCell ref="B6:C6"/>
    <mergeCell ref="B2:C2"/>
    <mergeCell ref="B8:C8"/>
    <mergeCell ref="A29:G29"/>
    <mergeCell ref="A30:G30"/>
    <mergeCell ref="D12:E12"/>
    <mergeCell ref="D15:E15"/>
    <mergeCell ref="D21:E21"/>
    <mergeCell ref="D22:E22"/>
    <mergeCell ref="D19:E19"/>
    <mergeCell ref="A40:B40"/>
    <mergeCell ref="F40:G40"/>
    <mergeCell ref="A32:G32"/>
    <mergeCell ref="A34:G34"/>
    <mergeCell ref="A35:G35"/>
    <mergeCell ref="D13:E13"/>
    <mergeCell ref="D14:E14"/>
    <mergeCell ref="A31:G31"/>
    <mergeCell ref="A33:G33"/>
    <mergeCell ref="A36:G36"/>
    <mergeCell ref="D16:E16"/>
    <mergeCell ref="D20:E20"/>
  </mergeCells>
  <hyperlinks>
    <hyperlink ref="G8" location="INPUT!A1" display="BACK TO INPUT" xr:uid="{00000000-0004-0000-0600-000000000000}"/>
  </hyperlinks>
  <printOptions horizontalCentered="1"/>
  <pageMargins left="0.25" right="0.25" top="0.75" bottom="0.75" header="0.3" footer="0.3"/>
  <pageSetup scale="86" fitToHeight="0"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00000"/>
    <pageSetUpPr fitToPage="1"/>
  </sheetPr>
  <dimension ref="A1:O43"/>
  <sheetViews>
    <sheetView showGridLines="0" zoomScaleNormal="100" workbookViewId="0">
      <selection activeCell="G11" sqref="G11"/>
    </sheetView>
  </sheetViews>
  <sheetFormatPr baseColWidth="10" defaultColWidth="0" defaultRowHeight="15" x14ac:dyDescent="0.2"/>
  <cols>
    <col min="1" max="1" width="22.5" style="26" customWidth="1"/>
    <col min="2" max="2" width="15.6640625" style="25" customWidth="1"/>
    <col min="3" max="3" width="15.6640625" style="26" customWidth="1"/>
    <col min="4" max="4" width="14.5" style="27" bestFit="1" customWidth="1"/>
    <col min="5" max="5" width="13.33203125" style="27" bestFit="1" customWidth="1"/>
    <col min="6" max="6" width="13.83203125" style="27" bestFit="1" customWidth="1"/>
    <col min="7" max="7" width="21" style="27"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4" ht="20" customHeight="1" x14ac:dyDescent="0.2">
      <c r="A1" s="70" t="s">
        <v>2</v>
      </c>
      <c r="B1" s="734">
        <f>INPUT!D30</f>
        <v>0</v>
      </c>
      <c r="C1" s="735"/>
      <c r="I1" s="47" t="str">
        <f>INPUT!D32</f>
        <v>MIRANDA 715-B</v>
      </c>
      <c r="K1" s="71" t="e">
        <f>VLOOKUP($I$1,#REF!,44,FALSE)</f>
        <v>#REF!</v>
      </c>
      <c r="M1" s="72"/>
      <c r="N1" s="71"/>
    </row>
    <row r="2" spans="1:14" x14ac:dyDescent="0.2">
      <c r="A2" s="294" t="s">
        <v>3</v>
      </c>
      <c r="B2" s="736" t="str">
        <f>INPUT!D31</f>
        <v>New Buyer</v>
      </c>
      <c r="C2" s="736"/>
      <c r="I2" s="47" t="str">
        <f>INPUT!D37</f>
        <v>No</v>
      </c>
      <c r="J2" s="47" t="s">
        <v>108</v>
      </c>
      <c r="K2" s="71">
        <f>700000</f>
        <v>700000</v>
      </c>
      <c r="L2" s="73"/>
      <c r="M2" s="72"/>
      <c r="N2" s="26" t="s">
        <v>429</v>
      </c>
    </row>
    <row r="3" spans="1:14" x14ac:dyDescent="0.2">
      <c r="A3" s="291" t="s">
        <v>96</v>
      </c>
      <c r="B3" s="733" t="e">
        <f>VLOOKUP('RFO1'!I1,#REF!,2,FALSE)</f>
        <v>#REF!</v>
      </c>
      <c r="C3" s="733"/>
      <c r="J3" s="47" t="s">
        <v>109</v>
      </c>
      <c r="L3" s="73"/>
      <c r="M3" s="72"/>
      <c r="N3" s="26" t="s">
        <v>433</v>
      </c>
    </row>
    <row r="4" spans="1:14" x14ac:dyDescent="0.2">
      <c r="A4" s="291" t="s">
        <v>9</v>
      </c>
      <c r="B4" s="733" t="e">
        <f>VLOOKUP($I$1,#REF!,3,FALSE)</f>
        <v>#REF!</v>
      </c>
      <c r="C4" s="733"/>
      <c r="D4" s="74"/>
      <c r="E4" s="74"/>
      <c r="J4" s="47" t="s">
        <v>110</v>
      </c>
      <c r="L4" s="73"/>
      <c r="M4" s="72"/>
      <c r="N4" s="26" t="s">
        <v>434</v>
      </c>
    </row>
    <row r="5" spans="1:14" x14ac:dyDescent="0.2">
      <c r="A5" s="291" t="s">
        <v>4</v>
      </c>
      <c r="B5" s="733" t="e">
        <f>VLOOKUP($I$1,#REF!,5,FALSE)</f>
        <v>#REF!</v>
      </c>
      <c r="C5" s="733"/>
      <c r="D5" s="74"/>
      <c r="E5" s="74"/>
      <c r="L5" s="73"/>
      <c r="M5" s="72"/>
    </row>
    <row r="6" spans="1:14" x14ac:dyDescent="0.2">
      <c r="A6" s="291" t="s">
        <v>8</v>
      </c>
      <c r="B6" s="733" t="e">
        <f>VLOOKUP($I$1,#REF!,10,FALSE)</f>
        <v>#REF!</v>
      </c>
      <c r="C6" s="733"/>
      <c r="D6" s="74"/>
      <c r="E6" s="74"/>
      <c r="L6" s="73"/>
      <c r="M6" s="72"/>
    </row>
    <row r="7" spans="1:14" x14ac:dyDescent="0.2">
      <c r="A7" s="291" t="s">
        <v>10</v>
      </c>
      <c r="B7" s="733" t="e">
        <f>VLOOKUP($I$1,#REF!,6,FALSE)</f>
        <v>#REF!</v>
      </c>
      <c r="C7" s="733"/>
      <c r="D7" s="74"/>
      <c r="E7" s="74"/>
      <c r="L7" s="73"/>
    </row>
    <row r="8" spans="1:14" ht="30" customHeight="1" x14ac:dyDescent="0.2">
      <c r="A8" s="291" t="s">
        <v>23</v>
      </c>
      <c r="B8" s="729" t="str">
        <f>INPUT!F32</f>
        <v>SPOT 10% / 15% in 3mos. / 75% LS</v>
      </c>
      <c r="C8" s="729"/>
      <c r="D8" s="74"/>
      <c r="E8" s="74"/>
      <c r="G8" s="76" t="s">
        <v>412</v>
      </c>
      <c r="L8" s="73"/>
    </row>
    <row r="9" spans="1:14" x14ac:dyDescent="0.2">
      <c r="L9" s="73"/>
    </row>
    <row r="10" spans="1:14" x14ac:dyDescent="0.2">
      <c r="L10" s="73"/>
    </row>
    <row r="11" spans="1:14" ht="19" x14ac:dyDescent="0.25">
      <c r="A11" s="77" t="s">
        <v>24</v>
      </c>
      <c r="K11" s="26"/>
      <c r="L11" s="73"/>
    </row>
    <row r="12" spans="1:14" ht="19" x14ac:dyDescent="0.25">
      <c r="A12" s="77"/>
      <c r="D12" s="730" t="s">
        <v>106</v>
      </c>
      <c r="E12" s="730"/>
      <c r="F12" s="78" t="s">
        <v>107</v>
      </c>
      <c r="G12" s="78" t="s">
        <v>7</v>
      </c>
      <c r="K12" s="71" t="s">
        <v>260</v>
      </c>
      <c r="L12" s="73"/>
    </row>
    <row r="13" spans="1:14" x14ac:dyDescent="0.2">
      <c r="A13" s="26" t="s">
        <v>127</v>
      </c>
      <c r="D13" s="720" t="e">
        <f>K1</f>
        <v>#REF!</v>
      </c>
      <c r="E13" s="720"/>
      <c r="F13" s="27">
        <f>IF(I2=J2,K2,0)</f>
        <v>0</v>
      </c>
      <c r="G13" s="27" t="e">
        <f>D13+F13</f>
        <v>#REF!</v>
      </c>
      <c r="I13" s="79"/>
      <c r="L13" s="73"/>
    </row>
    <row r="14" spans="1:14" x14ac:dyDescent="0.2">
      <c r="A14" s="80" t="str">
        <f>IF(INPUT!$D$37=INPUT!$N$12,"          Bundled Share Promo","")</f>
        <v/>
      </c>
      <c r="C14" s="81"/>
      <c r="D14" s="721">
        <f>IF(INPUT!$D$37=INPUT!$N$12,INPUT!$D$38,0)</f>
        <v>0</v>
      </c>
      <c r="E14" s="721"/>
      <c r="F14" s="82">
        <v>0</v>
      </c>
      <c r="G14" s="82">
        <f>D14+F14</f>
        <v>0</v>
      </c>
      <c r="H14" s="81"/>
      <c r="I14" s="79"/>
      <c r="J14" s="83"/>
      <c r="K14" s="83"/>
      <c r="L14" s="73"/>
    </row>
    <row r="15" spans="1:14" x14ac:dyDescent="0.2">
      <c r="A15" s="80" t="str">
        <f>IF(INPUT!$G$30=INPUT!$N$20,N3,"")</f>
        <v xml:space="preserve">          Less: Term Discount</v>
      </c>
      <c r="C15" s="84">
        <f>IF(INPUT!$G$30=INPUT!$N$20,H15,"")</f>
        <v>0.12</v>
      </c>
      <c r="D15" s="731" t="e">
        <f>(D13-D14)*H15</f>
        <v>#REF!</v>
      </c>
      <c r="E15" s="731"/>
      <c r="F15" s="82">
        <v>0</v>
      </c>
      <c r="G15" s="82" t="e">
        <f>D15+F15</f>
        <v>#REF!</v>
      </c>
      <c r="H15" s="85">
        <f>IF(INPUT!$G$30=INPUT!$N$20,INPUT!G33,"0")</f>
        <v>0.12</v>
      </c>
      <c r="I15" s="86"/>
      <c r="L15" s="73"/>
    </row>
    <row r="16" spans="1:14" s="93" customFormat="1" x14ac:dyDescent="0.2">
      <c r="A16" s="87" t="str">
        <f>IF(INPUT!$G$30=INPUT!$N$20,N4,"List Price (VAT-IN)")</f>
        <v>Discounted List Price (VAT-IN)</v>
      </c>
      <c r="B16" s="88"/>
      <c r="C16" s="89"/>
      <c r="D16" s="726" t="e">
        <f>D13-D15-D14</f>
        <v>#REF!</v>
      </c>
      <c r="E16" s="726"/>
      <c r="F16" s="90">
        <f>F13-F14-F15</f>
        <v>0</v>
      </c>
      <c r="G16" s="90" t="e">
        <f>SUM(D16:F16)</f>
        <v>#REF!</v>
      </c>
      <c r="H16" s="91"/>
      <c r="I16" s="92"/>
    </row>
    <row r="17" spans="1:15" s="100" customFormat="1" x14ac:dyDescent="0.2">
      <c r="A17" s="94" t="str">
        <f>IF(INPUT!$G$30=INPUT!$N$20,"          Discounted List Price (VAT-EX)","          List Price (VAT-EX)")</f>
        <v xml:space="preserve">          Discounted List Price (VAT-EX)</v>
      </c>
      <c r="B17" s="95"/>
      <c r="C17" s="91"/>
      <c r="D17" s="96"/>
      <c r="E17" s="97" t="e">
        <f>D16/1.12</f>
        <v>#REF!</v>
      </c>
      <c r="F17" s="98">
        <v>0</v>
      </c>
      <c r="G17" s="98" t="e">
        <f>SUM(E17:F17)</f>
        <v>#REF!</v>
      </c>
      <c r="H17" s="91"/>
      <c r="I17" s="99"/>
    </row>
    <row r="18" spans="1:15" x14ac:dyDescent="0.2">
      <c r="A18" s="80" t="str">
        <f>IF(INPUT!$D$31=INPUT!$Q$14,"          Less: Employee Disct","")</f>
        <v/>
      </c>
      <c r="C18" s="101" t="str">
        <f>IF($A$18=$N$2,5%,"")</f>
        <v/>
      </c>
      <c r="D18" s="721">
        <f>IF(A18=N2,(E17)*0.05,0)</f>
        <v>0</v>
      </c>
      <c r="E18" s="721"/>
      <c r="F18" s="82">
        <v>0</v>
      </c>
      <c r="G18" s="82">
        <f>SUM(D18:F18)</f>
        <v>0</v>
      </c>
      <c r="H18" s="81"/>
      <c r="I18" s="102"/>
      <c r="J18" s="103"/>
      <c r="K18" s="104"/>
      <c r="L18" s="73"/>
      <c r="M18" s="93"/>
      <c r="N18" s="93"/>
      <c r="O18" s="93"/>
    </row>
    <row r="19" spans="1:15" x14ac:dyDescent="0.2">
      <c r="A19" s="105" t="s">
        <v>432</v>
      </c>
      <c r="B19" s="106"/>
      <c r="C19" s="107"/>
      <c r="D19" s="726" t="e">
        <f>E17-D18</f>
        <v>#REF!</v>
      </c>
      <c r="E19" s="726"/>
      <c r="F19" s="108">
        <f>F16</f>
        <v>0</v>
      </c>
      <c r="G19" s="108" t="e">
        <f>SUM(D19:F19)</f>
        <v>#REF!</v>
      </c>
      <c r="H19" s="81"/>
    </row>
    <row r="20" spans="1:15" x14ac:dyDescent="0.2">
      <c r="A20" s="80" t="s">
        <v>128</v>
      </c>
      <c r="C20" s="84">
        <v>0.12</v>
      </c>
      <c r="D20" s="728" t="e">
        <f>D19*C20</f>
        <v>#REF!</v>
      </c>
      <c r="E20" s="728"/>
      <c r="F20" s="109">
        <v>0</v>
      </c>
      <c r="G20" s="109" t="e">
        <f>SUM(D20:F20)</f>
        <v>#REF!</v>
      </c>
      <c r="H20" s="81"/>
    </row>
    <row r="21" spans="1:15" x14ac:dyDescent="0.2">
      <c r="A21" s="80" t="s">
        <v>129</v>
      </c>
      <c r="C21" s="110">
        <v>3.5000000000000003E-2</v>
      </c>
      <c r="D21" s="728" t="e">
        <f>D19*C21</f>
        <v>#REF!</v>
      </c>
      <c r="E21" s="728"/>
      <c r="F21" s="109">
        <v>0</v>
      </c>
      <c r="G21" s="111" t="e">
        <f>SUM(D21:F21)</f>
        <v>#REF!</v>
      </c>
    </row>
    <row r="22" spans="1:15" s="93" customFormat="1" x14ac:dyDescent="0.2">
      <c r="A22" s="112" t="s">
        <v>101</v>
      </c>
      <c r="B22" s="113"/>
      <c r="C22" s="114"/>
      <c r="D22" s="732" t="e">
        <f>SUM(D19:E21)</f>
        <v>#REF!</v>
      </c>
      <c r="E22" s="732"/>
      <c r="F22" s="115">
        <f>SUM(F19:F21)</f>
        <v>0</v>
      </c>
      <c r="G22" s="115" t="e">
        <f>SUM(D22:F22)</f>
        <v>#REF!</v>
      </c>
      <c r="I22" s="103"/>
      <c r="J22" s="103"/>
      <c r="K22" s="104"/>
      <c r="L22" s="103"/>
    </row>
    <row r="23" spans="1:15" s="93" customFormat="1" x14ac:dyDescent="0.2">
      <c r="A23" s="131"/>
      <c r="B23" s="132"/>
      <c r="C23" s="91"/>
      <c r="D23" s="96"/>
      <c r="E23" s="96"/>
      <c r="F23" s="133"/>
      <c r="G23" s="133"/>
      <c r="H23" s="91"/>
      <c r="I23" s="134"/>
      <c r="J23" s="103"/>
      <c r="K23" s="104"/>
      <c r="L23" s="103"/>
    </row>
    <row r="24" spans="1:15" x14ac:dyDescent="0.2">
      <c r="A24" s="116" t="s">
        <v>25</v>
      </c>
      <c r="B24" s="116" t="s">
        <v>26</v>
      </c>
      <c r="C24" s="116" t="s">
        <v>27</v>
      </c>
      <c r="D24" s="117" t="s">
        <v>106</v>
      </c>
      <c r="E24" s="117" t="s">
        <v>121</v>
      </c>
      <c r="F24" s="117" t="s">
        <v>90</v>
      </c>
      <c r="G24" s="117" t="s">
        <v>28</v>
      </c>
      <c r="I24" s="72"/>
    </row>
    <row r="25" spans="1:15" x14ac:dyDescent="0.2">
      <c r="A25" s="118">
        <v>0</v>
      </c>
      <c r="B25" s="118" t="s">
        <v>29</v>
      </c>
      <c r="C25" s="119">
        <f t="shared" ref="C25:C30" si="0">SUM(D25:E25)</f>
        <v>100000</v>
      </c>
      <c r="D25" s="119">
        <f>IF($I$2=$J$2,75000,100000)</f>
        <v>100000</v>
      </c>
      <c r="E25" s="119">
        <f>IF($I$2=$J$2,25000,0)</f>
        <v>0</v>
      </c>
      <c r="F25" s="119"/>
      <c r="G25" s="120" t="e">
        <f>G22-C25-F25</f>
        <v>#REF!</v>
      </c>
    </row>
    <row r="26" spans="1:15" x14ac:dyDescent="0.2">
      <c r="A26" s="118">
        <v>1</v>
      </c>
      <c r="B26" s="118" t="s">
        <v>131</v>
      </c>
      <c r="C26" s="119" t="e">
        <f>SUM(D26:E26)</f>
        <v>#REF!</v>
      </c>
      <c r="D26" s="119" t="e">
        <f>(D19+D20)*I26-D25</f>
        <v>#REF!</v>
      </c>
      <c r="E26" s="119">
        <f>(F22*I26)-E25</f>
        <v>0</v>
      </c>
      <c r="F26" s="119"/>
      <c r="G26" s="120" t="e">
        <f>G25-C26-F26</f>
        <v>#REF!</v>
      </c>
      <c r="I26" s="121">
        <v>0.1</v>
      </c>
    </row>
    <row r="27" spans="1:15" s="48" customFormat="1" x14ac:dyDescent="0.2">
      <c r="A27" s="118">
        <v>3</v>
      </c>
      <c r="B27" s="118" t="s">
        <v>263</v>
      </c>
      <c r="C27" s="119" t="e">
        <f t="shared" si="0"/>
        <v>#REF!</v>
      </c>
      <c r="D27" s="135" t="e">
        <f>(D19+D20)*I27/J27</f>
        <v>#REF!</v>
      </c>
      <c r="E27" s="119">
        <f>F22*I27/J27</f>
        <v>0</v>
      </c>
      <c r="F27" s="119"/>
      <c r="G27" s="120" t="e">
        <f>G26-C27-F27</f>
        <v>#REF!</v>
      </c>
      <c r="I27" s="122">
        <v>0.15</v>
      </c>
      <c r="J27" s="49">
        <v>3</v>
      </c>
      <c r="K27" s="123"/>
      <c r="L27" s="49"/>
      <c r="N27" s="26"/>
    </row>
    <row r="28" spans="1:15" s="48" customFormat="1" x14ac:dyDescent="0.2">
      <c r="A28" s="118">
        <v>4</v>
      </c>
      <c r="B28" s="118" t="s">
        <v>264</v>
      </c>
      <c r="C28" s="119" t="e">
        <f t="shared" si="0"/>
        <v>#REF!</v>
      </c>
      <c r="D28" s="135" t="e">
        <f>D27</f>
        <v>#REF!</v>
      </c>
      <c r="E28" s="119">
        <f>E27</f>
        <v>0</v>
      </c>
      <c r="F28" s="119"/>
      <c r="G28" s="120" t="e">
        <f>G27-C28-F28</f>
        <v>#REF!</v>
      </c>
      <c r="I28" s="122"/>
      <c r="J28" s="49"/>
      <c r="K28" s="123"/>
      <c r="L28" s="49"/>
    </row>
    <row r="29" spans="1:15" s="48" customFormat="1" x14ac:dyDescent="0.2">
      <c r="A29" s="118">
        <v>5</v>
      </c>
      <c r="B29" s="118" t="s">
        <v>265</v>
      </c>
      <c r="C29" s="119" t="e">
        <f t="shared" si="0"/>
        <v>#REF!</v>
      </c>
      <c r="D29" s="135" t="e">
        <f>D28</f>
        <v>#REF!</v>
      </c>
      <c r="E29" s="119">
        <f>E28</f>
        <v>0</v>
      </c>
      <c r="F29" s="119" t="e">
        <f>D21</f>
        <v>#REF!</v>
      </c>
      <c r="G29" s="120" t="e">
        <f>G28-C29-F29</f>
        <v>#REF!</v>
      </c>
      <c r="I29" s="122"/>
      <c r="J29" s="49"/>
      <c r="K29" s="123"/>
      <c r="L29" s="49"/>
      <c r="N29" s="26"/>
    </row>
    <row r="30" spans="1:15" s="48" customFormat="1" x14ac:dyDescent="0.2">
      <c r="A30" s="118">
        <v>6</v>
      </c>
      <c r="B30" s="118" t="s">
        <v>104</v>
      </c>
      <c r="C30" s="119" t="e">
        <f t="shared" si="0"/>
        <v>#REF!</v>
      </c>
      <c r="D30" s="119" t="e">
        <f>(D19+D20)*I30</f>
        <v>#REF!</v>
      </c>
      <c r="E30" s="119">
        <f>F22*I30</f>
        <v>0</v>
      </c>
      <c r="F30" s="119"/>
      <c r="G30" s="120" t="e">
        <f>G29-C30-F30</f>
        <v>#REF!</v>
      </c>
      <c r="I30" s="122">
        <v>0.75</v>
      </c>
      <c r="J30" s="49"/>
      <c r="K30" s="123"/>
      <c r="L30" s="49"/>
      <c r="N30" s="26"/>
    </row>
    <row r="31" spans="1:15" x14ac:dyDescent="0.2">
      <c r="A31" s="10" t="s">
        <v>113</v>
      </c>
      <c r="B31" s="124"/>
      <c r="C31" s="125"/>
      <c r="D31" s="126"/>
      <c r="E31" s="126"/>
      <c r="F31" s="126"/>
      <c r="G31" s="82"/>
    </row>
    <row r="32" spans="1:15" ht="25.5" customHeight="1" x14ac:dyDescent="0.2">
      <c r="A32" s="723" t="s">
        <v>114</v>
      </c>
      <c r="B32" s="723"/>
      <c r="C32" s="723"/>
      <c r="D32" s="723"/>
      <c r="E32" s="723"/>
      <c r="F32" s="723"/>
      <c r="G32" s="723"/>
    </row>
    <row r="33" spans="1:10" ht="28.5" customHeight="1" x14ac:dyDescent="0.2">
      <c r="A33" s="722" t="s">
        <v>115</v>
      </c>
      <c r="B33" s="722"/>
      <c r="C33" s="722"/>
      <c r="D33" s="722"/>
      <c r="E33" s="722"/>
      <c r="F33" s="722"/>
      <c r="G33" s="722"/>
    </row>
    <row r="34" spans="1:10" x14ac:dyDescent="0.2">
      <c r="A34" s="722" t="s">
        <v>116</v>
      </c>
      <c r="B34" s="722"/>
      <c r="C34" s="722"/>
      <c r="D34" s="722"/>
      <c r="E34" s="722"/>
      <c r="F34" s="722"/>
      <c r="G34" s="722"/>
    </row>
    <row r="35" spans="1:10" ht="27.75" customHeight="1" x14ac:dyDescent="0.2">
      <c r="A35" s="722" t="s">
        <v>117</v>
      </c>
      <c r="B35" s="722"/>
      <c r="C35" s="722"/>
      <c r="D35" s="722"/>
      <c r="E35" s="722"/>
      <c r="F35" s="722"/>
      <c r="G35" s="722"/>
    </row>
    <row r="36" spans="1:10" x14ac:dyDescent="0.2">
      <c r="A36" s="723" t="s">
        <v>118</v>
      </c>
      <c r="B36" s="723"/>
      <c r="C36" s="723"/>
      <c r="D36" s="723"/>
      <c r="E36" s="723"/>
      <c r="F36" s="723"/>
      <c r="G36" s="723"/>
      <c r="H36" s="81"/>
      <c r="I36" s="127"/>
      <c r="J36" s="127"/>
    </row>
    <row r="37" spans="1:10" ht="21" customHeight="1" x14ac:dyDescent="0.2">
      <c r="A37" s="725" t="s">
        <v>119</v>
      </c>
      <c r="B37" s="725"/>
      <c r="C37" s="725"/>
      <c r="D37" s="725"/>
      <c r="E37" s="725"/>
      <c r="F37" s="725"/>
      <c r="G37" s="725"/>
      <c r="H37" s="81"/>
      <c r="I37" s="127"/>
      <c r="J37" s="127"/>
    </row>
    <row r="38" spans="1:10" ht="27" customHeight="1" x14ac:dyDescent="0.2">
      <c r="A38" s="725" t="s">
        <v>414</v>
      </c>
      <c r="B38" s="725"/>
      <c r="C38" s="725"/>
      <c r="D38" s="725"/>
      <c r="E38" s="725"/>
      <c r="F38" s="725"/>
      <c r="G38" s="725"/>
      <c r="H38" s="81"/>
      <c r="I38" s="127"/>
      <c r="J38" s="127"/>
    </row>
    <row r="39" spans="1:10" x14ac:dyDescent="0.2">
      <c r="A39" s="722" t="s">
        <v>413</v>
      </c>
      <c r="B39" s="722"/>
      <c r="C39" s="722"/>
      <c r="D39" s="722"/>
      <c r="E39" s="722"/>
      <c r="F39" s="722"/>
      <c r="G39" s="722"/>
      <c r="H39" s="81"/>
      <c r="I39" s="127"/>
      <c r="J39" s="127"/>
    </row>
    <row r="40" spans="1:10" x14ac:dyDescent="0.2">
      <c r="A40" s="26" t="s">
        <v>91</v>
      </c>
      <c r="H40" s="81"/>
      <c r="I40" s="127"/>
      <c r="J40" s="127"/>
    </row>
    <row r="41" spans="1:10" x14ac:dyDescent="0.2">
      <c r="H41" s="81"/>
      <c r="I41" s="127"/>
      <c r="J41" s="127"/>
    </row>
    <row r="42" spans="1:10" x14ac:dyDescent="0.2">
      <c r="A42" s="128"/>
      <c r="B42" s="129"/>
      <c r="F42" s="130"/>
      <c r="G42" s="130"/>
      <c r="H42" s="81"/>
      <c r="I42" s="127"/>
      <c r="J42" s="127"/>
    </row>
    <row r="43" spans="1:10" x14ac:dyDescent="0.2">
      <c r="A43" s="724" t="s">
        <v>92</v>
      </c>
      <c r="B43" s="724"/>
      <c r="F43" s="720" t="s">
        <v>93</v>
      </c>
      <c r="G43" s="720"/>
      <c r="H43" s="81"/>
      <c r="I43" s="127"/>
      <c r="J43" s="127"/>
    </row>
  </sheetData>
  <sheetProtection sheet="1" objects="1" scenarios="1"/>
  <mergeCells count="28">
    <mergeCell ref="D21:E21"/>
    <mergeCell ref="A39:G39"/>
    <mergeCell ref="A33:G33"/>
    <mergeCell ref="A35:G35"/>
    <mergeCell ref="A37:G37"/>
    <mergeCell ref="A38:G38"/>
    <mergeCell ref="D16:E16"/>
    <mergeCell ref="D18:E18"/>
    <mergeCell ref="B6:C6"/>
    <mergeCell ref="B7:C7"/>
    <mergeCell ref="B8:C8"/>
    <mergeCell ref="D12:E12"/>
    <mergeCell ref="A43:B43"/>
    <mergeCell ref="F43:G43"/>
    <mergeCell ref="B1:C1"/>
    <mergeCell ref="B2:C2"/>
    <mergeCell ref="B3:C3"/>
    <mergeCell ref="B4:C4"/>
    <mergeCell ref="B5:C5"/>
    <mergeCell ref="A36:G36"/>
    <mergeCell ref="D19:E19"/>
    <mergeCell ref="D20:E20"/>
    <mergeCell ref="A34:G34"/>
    <mergeCell ref="D22:E22"/>
    <mergeCell ref="A32:G32"/>
    <mergeCell ref="D13:E13"/>
    <mergeCell ref="D14:E14"/>
    <mergeCell ref="D15:E15"/>
  </mergeCells>
  <hyperlinks>
    <hyperlink ref="G8" location="INPUT!A1" display="BACK TO INPUT" xr:uid="{00000000-0004-0000-0700-000000000000}"/>
  </hyperlinks>
  <pageMargins left="0.25" right="0.25" top="0.25" bottom="0.75" header="0.3" footer="0.3"/>
  <pageSetup scale="8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00000"/>
    <pageSetUpPr fitToPage="1"/>
  </sheetPr>
  <dimension ref="A1:O64"/>
  <sheetViews>
    <sheetView showGridLines="0" zoomScaleNormal="100" workbookViewId="0">
      <selection activeCell="G11" sqref="G11"/>
    </sheetView>
  </sheetViews>
  <sheetFormatPr baseColWidth="10" defaultColWidth="0" defaultRowHeight="15" x14ac:dyDescent="0.2"/>
  <cols>
    <col min="1" max="1" width="22.5" style="26" customWidth="1"/>
    <col min="2" max="2" width="15.5" style="25" bestFit="1" customWidth="1"/>
    <col min="3" max="3" width="14.33203125" style="26" bestFit="1" customWidth="1"/>
    <col min="4" max="4" width="14.5" style="27" bestFit="1" customWidth="1"/>
    <col min="5" max="5" width="14.33203125" style="27" bestFit="1" customWidth="1"/>
    <col min="6" max="6" width="13.83203125" style="27" bestFit="1" customWidth="1"/>
    <col min="7" max="7" width="21" style="27"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4" ht="20" customHeight="1" x14ac:dyDescent="0.2">
      <c r="A1" s="70" t="s">
        <v>2</v>
      </c>
      <c r="B1" s="734">
        <f>INPUT!D30</f>
        <v>0</v>
      </c>
      <c r="C1" s="735"/>
      <c r="I1" s="47" t="str">
        <f>INPUT!D32</f>
        <v>MIRANDA 715-B</v>
      </c>
      <c r="K1" s="71" t="e">
        <f>VLOOKUP($I$1,#REF!,44,FALSE)</f>
        <v>#REF!</v>
      </c>
      <c r="M1" s="72"/>
      <c r="N1" s="71"/>
    </row>
    <row r="2" spans="1:14" x14ac:dyDescent="0.2">
      <c r="A2" s="294" t="s">
        <v>3</v>
      </c>
      <c r="B2" s="736" t="str">
        <f>INPUT!D31</f>
        <v>New Buyer</v>
      </c>
      <c r="C2" s="736"/>
      <c r="I2" s="47" t="str">
        <f>INPUT!D37</f>
        <v>No</v>
      </c>
      <c r="J2" s="47" t="s">
        <v>108</v>
      </c>
      <c r="K2" s="71">
        <f>700000</f>
        <v>700000</v>
      </c>
      <c r="L2" s="73"/>
      <c r="M2" s="72"/>
      <c r="N2" s="26" t="s">
        <v>429</v>
      </c>
    </row>
    <row r="3" spans="1:14" x14ac:dyDescent="0.2">
      <c r="A3" s="291" t="s">
        <v>96</v>
      </c>
      <c r="B3" s="733" t="e">
        <f>VLOOKUP('RFO1'!I1,#REF!,2,FALSE)</f>
        <v>#REF!</v>
      </c>
      <c r="C3" s="733"/>
      <c r="J3" s="47" t="s">
        <v>109</v>
      </c>
      <c r="L3" s="73"/>
      <c r="M3" s="72"/>
      <c r="N3" s="26" t="s">
        <v>433</v>
      </c>
    </row>
    <row r="4" spans="1:14" x14ac:dyDescent="0.2">
      <c r="A4" s="291" t="s">
        <v>9</v>
      </c>
      <c r="B4" s="733" t="e">
        <f>VLOOKUP($I$1,#REF!,3,FALSE)</f>
        <v>#REF!</v>
      </c>
      <c r="C4" s="733"/>
      <c r="D4" s="74"/>
      <c r="E4" s="74"/>
      <c r="J4" s="47" t="s">
        <v>110</v>
      </c>
      <c r="L4" s="73"/>
      <c r="M4" s="72"/>
      <c r="N4" s="26" t="s">
        <v>434</v>
      </c>
    </row>
    <row r="5" spans="1:14" x14ac:dyDescent="0.2">
      <c r="A5" s="291" t="s">
        <v>4</v>
      </c>
      <c r="B5" s="733" t="e">
        <f>VLOOKUP($I$1,#REF!,5,FALSE)</f>
        <v>#REF!</v>
      </c>
      <c r="C5" s="733"/>
      <c r="D5" s="74"/>
      <c r="E5" s="74"/>
      <c r="L5" s="73"/>
      <c r="M5" s="72"/>
    </row>
    <row r="6" spans="1:14" x14ac:dyDescent="0.2">
      <c r="A6" s="291" t="s">
        <v>8</v>
      </c>
      <c r="B6" s="733" t="e">
        <f>VLOOKUP($I$1,#REF!,10,FALSE)</f>
        <v>#REF!</v>
      </c>
      <c r="C6" s="733"/>
      <c r="D6" s="74"/>
      <c r="E6" s="74"/>
      <c r="L6" s="73"/>
      <c r="M6" s="72"/>
    </row>
    <row r="7" spans="1:14" x14ac:dyDescent="0.2">
      <c r="A7" s="291" t="s">
        <v>10</v>
      </c>
      <c r="B7" s="733" t="e">
        <f>VLOOKUP($I$1,#REF!,6,FALSE)</f>
        <v>#REF!</v>
      </c>
      <c r="C7" s="733"/>
      <c r="D7" s="74"/>
      <c r="E7" s="74"/>
      <c r="L7" s="73"/>
    </row>
    <row r="8" spans="1:14" ht="30" customHeight="1" x14ac:dyDescent="0.2">
      <c r="A8" s="291" t="s">
        <v>23</v>
      </c>
      <c r="B8" s="729" t="str">
        <f>INPUT!F34</f>
        <v>SPOT 10% / 10% in 60 days / 80% 24mos.</v>
      </c>
      <c r="C8" s="729"/>
      <c r="D8" s="74"/>
      <c r="E8" s="74"/>
      <c r="G8" s="76" t="s">
        <v>412</v>
      </c>
      <c r="L8" s="73"/>
    </row>
    <row r="9" spans="1:14" x14ac:dyDescent="0.2">
      <c r="L9" s="73"/>
    </row>
    <row r="10" spans="1:14" x14ac:dyDescent="0.2">
      <c r="L10" s="73"/>
    </row>
    <row r="11" spans="1:14" ht="19" x14ac:dyDescent="0.25">
      <c r="A11" s="77" t="s">
        <v>24</v>
      </c>
      <c r="K11" s="26"/>
      <c r="L11" s="73"/>
    </row>
    <row r="12" spans="1:14" ht="19" x14ac:dyDescent="0.25">
      <c r="A12" s="77"/>
      <c r="D12" s="730" t="s">
        <v>106</v>
      </c>
      <c r="E12" s="730"/>
      <c r="F12" s="78" t="s">
        <v>107</v>
      </c>
      <c r="G12" s="78" t="s">
        <v>7</v>
      </c>
      <c r="K12" s="71" t="s">
        <v>260</v>
      </c>
      <c r="L12" s="73"/>
    </row>
    <row r="13" spans="1:14" x14ac:dyDescent="0.2">
      <c r="A13" s="26" t="s">
        <v>127</v>
      </c>
      <c r="D13" s="720" t="e">
        <f>K1</f>
        <v>#REF!</v>
      </c>
      <c r="E13" s="720"/>
      <c r="F13" s="27">
        <f>IF(I2=J2,K2,0)</f>
        <v>0</v>
      </c>
      <c r="G13" s="27" t="e">
        <f>D13+F13</f>
        <v>#REF!</v>
      </c>
      <c r="I13" s="79"/>
      <c r="L13" s="73"/>
    </row>
    <row r="14" spans="1:14" x14ac:dyDescent="0.2">
      <c r="A14" s="80" t="str">
        <f>IF(INPUT!$D$37=INPUT!$N$12,"          Bundled Share Promo","")</f>
        <v/>
      </c>
      <c r="C14" s="81"/>
      <c r="D14" s="721">
        <f>IF(INPUT!$D$37=INPUT!$N$12,INPUT!$D$38,0)</f>
        <v>0</v>
      </c>
      <c r="E14" s="721"/>
      <c r="F14" s="82">
        <v>0</v>
      </c>
      <c r="G14" s="82">
        <f>D14+F14</f>
        <v>0</v>
      </c>
      <c r="H14" s="81"/>
      <c r="I14" s="79"/>
      <c r="J14" s="83"/>
      <c r="K14" s="83"/>
      <c r="L14" s="73"/>
    </row>
    <row r="15" spans="1:14" x14ac:dyDescent="0.2">
      <c r="A15" s="80" t="str">
        <f>IF(INPUT!$G$30=INPUT!$N$20,N3,"")</f>
        <v xml:space="preserve">          Less: Term Discount</v>
      </c>
      <c r="C15" s="84">
        <f>IF(INPUT!$G$30=INPUT!$N$20,H15,"")</f>
        <v>0.06</v>
      </c>
      <c r="D15" s="731" t="e">
        <f>(D13-D14)*H15</f>
        <v>#REF!</v>
      </c>
      <c r="E15" s="731"/>
      <c r="F15" s="82">
        <v>0</v>
      </c>
      <c r="G15" s="82" t="e">
        <f>D15+F15</f>
        <v>#REF!</v>
      </c>
      <c r="H15" s="85">
        <f>IF(INPUT!$G$30=INPUT!$N$20,INPUT!G35,"0")</f>
        <v>0.06</v>
      </c>
      <c r="I15" s="86"/>
      <c r="L15" s="73"/>
    </row>
    <row r="16" spans="1:14" s="93" customFormat="1" x14ac:dyDescent="0.2">
      <c r="A16" s="87" t="str">
        <f>IF(INPUT!$G$30=INPUT!$N$20,N4,"List Price (VAT-IN)")</f>
        <v>Discounted List Price (VAT-IN)</v>
      </c>
      <c r="B16" s="88"/>
      <c r="C16" s="89"/>
      <c r="D16" s="726" t="e">
        <f>D13-D15-D14</f>
        <v>#REF!</v>
      </c>
      <c r="E16" s="726"/>
      <c r="F16" s="90">
        <f>F13-F14-F15</f>
        <v>0</v>
      </c>
      <c r="G16" s="90" t="e">
        <f>SUM(D16:F16)</f>
        <v>#REF!</v>
      </c>
      <c r="H16" s="91"/>
      <c r="I16" s="92"/>
    </row>
    <row r="17" spans="1:15" s="100" customFormat="1" x14ac:dyDescent="0.2">
      <c r="A17" s="94" t="str">
        <f>IF(INPUT!$G$30=INPUT!$N$20,"          Discounted List Price (VAT-EX)","          List Price (VAT-EX)")</f>
        <v xml:space="preserve">          Discounted List Price (VAT-EX)</v>
      </c>
      <c r="B17" s="95"/>
      <c r="C17" s="91"/>
      <c r="D17" s="96"/>
      <c r="E17" s="97" t="e">
        <f>D16/1.12</f>
        <v>#REF!</v>
      </c>
      <c r="F17" s="98">
        <v>0</v>
      </c>
      <c r="G17" s="98" t="e">
        <f>SUM(E17:F17)</f>
        <v>#REF!</v>
      </c>
      <c r="H17" s="91"/>
      <c r="I17" s="99"/>
    </row>
    <row r="18" spans="1:15" x14ac:dyDescent="0.2">
      <c r="A18" s="80" t="str">
        <f>IF(INPUT!$D$31=INPUT!$Q$14,"          Less: Employee Disct","")</f>
        <v/>
      </c>
      <c r="C18" s="101" t="str">
        <f>IF($A$18=$N$2,5%,"")</f>
        <v/>
      </c>
      <c r="D18" s="721">
        <f>IF(A18=N2,(E17)*0.05,0)</f>
        <v>0</v>
      </c>
      <c r="E18" s="721"/>
      <c r="F18" s="82">
        <v>0</v>
      </c>
      <c r="G18" s="82">
        <f>SUM(D18:F18)</f>
        <v>0</v>
      </c>
      <c r="H18" s="81"/>
      <c r="I18" s="102"/>
      <c r="J18" s="103"/>
      <c r="K18" s="104"/>
      <c r="L18" s="73"/>
      <c r="M18" s="93"/>
      <c r="N18" s="93"/>
      <c r="O18" s="93"/>
    </row>
    <row r="19" spans="1:15" x14ac:dyDescent="0.2">
      <c r="A19" s="105" t="s">
        <v>432</v>
      </c>
      <c r="B19" s="106"/>
      <c r="C19" s="107"/>
      <c r="D19" s="726" t="e">
        <f>E17-D18</f>
        <v>#REF!</v>
      </c>
      <c r="E19" s="726"/>
      <c r="F19" s="108">
        <f>F16</f>
        <v>0</v>
      </c>
      <c r="G19" s="108" t="e">
        <f>SUM(D19:F19)</f>
        <v>#REF!</v>
      </c>
      <c r="H19" s="81"/>
    </row>
    <row r="20" spans="1:15" x14ac:dyDescent="0.2">
      <c r="A20" s="80" t="s">
        <v>128</v>
      </c>
      <c r="C20" s="84">
        <v>0.12</v>
      </c>
      <c r="D20" s="728" t="e">
        <f>D19*C20</f>
        <v>#REF!</v>
      </c>
      <c r="E20" s="728"/>
      <c r="F20" s="109">
        <v>0</v>
      </c>
      <c r="G20" s="109" t="e">
        <f>SUM(D20:F20)</f>
        <v>#REF!</v>
      </c>
      <c r="H20" s="81"/>
    </row>
    <row r="21" spans="1:15" x14ac:dyDescent="0.2">
      <c r="A21" s="80" t="s">
        <v>129</v>
      </c>
      <c r="C21" s="110">
        <v>3.5000000000000003E-2</v>
      </c>
      <c r="D21" s="728" t="e">
        <f>D19*C21</f>
        <v>#REF!</v>
      </c>
      <c r="E21" s="728"/>
      <c r="F21" s="109">
        <v>0</v>
      </c>
      <c r="G21" s="111" t="e">
        <f>SUM(D21:F21)</f>
        <v>#REF!</v>
      </c>
    </row>
    <row r="22" spans="1:15" s="93" customFormat="1" x14ac:dyDescent="0.2">
      <c r="A22" s="112" t="s">
        <v>101</v>
      </c>
      <c r="B22" s="113"/>
      <c r="C22" s="114"/>
      <c r="D22" s="732" t="e">
        <f>SUM(D19:E21)</f>
        <v>#REF!</v>
      </c>
      <c r="E22" s="732"/>
      <c r="F22" s="115">
        <f>SUM(F19:F21)</f>
        <v>0</v>
      </c>
      <c r="G22" s="115" t="e">
        <f>SUM(D22:F22)</f>
        <v>#REF!</v>
      </c>
      <c r="I22" s="103"/>
      <c r="J22" s="103"/>
      <c r="K22" s="104"/>
      <c r="L22" s="103"/>
    </row>
    <row r="23" spans="1:15" x14ac:dyDescent="0.2">
      <c r="N23" s="93"/>
    </row>
    <row r="24" spans="1:15" x14ac:dyDescent="0.2">
      <c r="A24" s="116" t="s">
        <v>25</v>
      </c>
      <c r="B24" s="116" t="s">
        <v>26</v>
      </c>
      <c r="C24" s="117" t="s">
        <v>27</v>
      </c>
      <c r="D24" s="117" t="s">
        <v>106</v>
      </c>
      <c r="E24" s="117" t="s">
        <v>121</v>
      </c>
      <c r="F24" s="117" t="s">
        <v>90</v>
      </c>
      <c r="G24" s="117" t="s">
        <v>28</v>
      </c>
      <c r="I24" s="72"/>
    </row>
    <row r="25" spans="1:15" x14ac:dyDescent="0.2">
      <c r="A25" s="118">
        <v>0</v>
      </c>
      <c r="B25" s="118" t="s">
        <v>29</v>
      </c>
      <c r="C25" s="119">
        <f>SUM(D25:E25)</f>
        <v>100000</v>
      </c>
      <c r="D25" s="119">
        <f>IF($I$2=$J$2,75000,100000)</f>
        <v>100000</v>
      </c>
      <c r="E25" s="119">
        <f>IF($I$2=$J$2,25000,0)</f>
        <v>0</v>
      </c>
      <c r="F25" s="119"/>
      <c r="G25" s="120" t="e">
        <f>G22-C25-F25</f>
        <v>#REF!</v>
      </c>
    </row>
    <row r="26" spans="1:15" x14ac:dyDescent="0.2">
      <c r="A26" s="118">
        <v>1</v>
      </c>
      <c r="B26" s="118" t="s">
        <v>131</v>
      </c>
      <c r="C26" s="119" t="e">
        <f>SUM(D26:E26)</f>
        <v>#REF!</v>
      </c>
      <c r="D26" s="119" t="e">
        <f>(D19+D20)*I26-D25</f>
        <v>#REF!</v>
      </c>
      <c r="E26" s="119">
        <f>(F22*I26)-E25</f>
        <v>0</v>
      </c>
      <c r="F26" s="119"/>
      <c r="G26" s="120" t="e">
        <f>G25-C26-F26</f>
        <v>#REF!</v>
      </c>
      <c r="I26" s="121">
        <v>0.1</v>
      </c>
    </row>
    <row r="27" spans="1:15" s="48" customFormat="1" x14ac:dyDescent="0.2">
      <c r="A27" s="118">
        <v>2</v>
      </c>
      <c r="B27" s="118" t="s">
        <v>262</v>
      </c>
      <c r="C27" s="119" t="e">
        <f>SUM(D27:E27)</f>
        <v>#REF!</v>
      </c>
      <c r="D27" s="135" t="e">
        <f>(D19+D20)*I27</f>
        <v>#REF!</v>
      </c>
      <c r="E27" s="119">
        <f>F22*I27</f>
        <v>0</v>
      </c>
      <c r="F27" s="119"/>
      <c r="G27" s="120" t="e">
        <f>G26-C27-F27</f>
        <v>#REF!</v>
      </c>
      <c r="I27" s="122">
        <v>0.1</v>
      </c>
      <c r="J27" s="49"/>
      <c r="K27" s="123"/>
      <c r="L27" s="49"/>
      <c r="N27" s="26"/>
    </row>
    <row r="28" spans="1:15" s="48" customFormat="1" x14ac:dyDescent="0.2">
      <c r="A28" s="118">
        <v>3</v>
      </c>
      <c r="B28" s="118" t="s">
        <v>266</v>
      </c>
      <c r="C28" s="119" t="e">
        <f>SUM(D28:E28)</f>
        <v>#REF!</v>
      </c>
      <c r="D28" s="119" t="e">
        <f>(D19+D20)*I28/J28</f>
        <v>#REF!</v>
      </c>
      <c r="E28" s="136">
        <f>F22*I28/J28</f>
        <v>0</v>
      </c>
      <c r="F28" s="119"/>
      <c r="G28" s="120" t="e">
        <f>G27-C28-F28</f>
        <v>#REF!</v>
      </c>
      <c r="I28" s="122">
        <v>0.8</v>
      </c>
      <c r="J28" s="49">
        <v>24</v>
      </c>
      <c r="K28" s="123"/>
      <c r="L28" s="49"/>
    </row>
    <row r="29" spans="1:15" s="48" customFormat="1" x14ac:dyDescent="0.2">
      <c r="A29" s="118">
        <v>4</v>
      </c>
      <c r="B29" s="118" t="s">
        <v>267</v>
      </c>
      <c r="C29" s="119" t="e">
        <f t="shared" ref="C29:C51" si="0">SUM(D29:E29)</f>
        <v>#REF!</v>
      </c>
      <c r="D29" s="119" t="e">
        <f>D28</f>
        <v>#REF!</v>
      </c>
      <c r="E29" s="119">
        <f>E28</f>
        <v>0</v>
      </c>
      <c r="F29" s="119"/>
      <c r="G29" s="120" t="e">
        <f t="shared" ref="G29:G49" si="1">G28-C29-F29</f>
        <v>#REF!</v>
      </c>
      <c r="I29" s="122"/>
      <c r="J29" s="49"/>
      <c r="K29" s="123"/>
      <c r="L29" s="49"/>
      <c r="N29" s="26"/>
    </row>
    <row r="30" spans="1:15" s="48" customFormat="1" x14ac:dyDescent="0.2">
      <c r="A30" s="118">
        <v>5</v>
      </c>
      <c r="B30" s="118" t="s">
        <v>268</v>
      </c>
      <c r="C30" s="119" t="e">
        <f t="shared" si="0"/>
        <v>#REF!</v>
      </c>
      <c r="D30" s="119" t="e">
        <f t="shared" ref="D30:D51" si="2">D29</f>
        <v>#REF!</v>
      </c>
      <c r="E30" s="119">
        <f t="shared" ref="E30:E50" si="3">E29</f>
        <v>0</v>
      </c>
      <c r="F30" s="119"/>
      <c r="G30" s="120" t="e">
        <f t="shared" si="1"/>
        <v>#REF!</v>
      </c>
      <c r="I30" s="122"/>
      <c r="J30" s="49"/>
      <c r="K30" s="123"/>
      <c r="L30" s="49"/>
      <c r="N30" s="26"/>
    </row>
    <row r="31" spans="1:15" s="48" customFormat="1" x14ac:dyDescent="0.2">
      <c r="A31" s="118">
        <v>6</v>
      </c>
      <c r="B31" s="118" t="s">
        <v>269</v>
      </c>
      <c r="C31" s="119" t="e">
        <f t="shared" si="0"/>
        <v>#REF!</v>
      </c>
      <c r="D31" s="119" t="e">
        <f t="shared" si="2"/>
        <v>#REF!</v>
      </c>
      <c r="E31" s="119">
        <f t="shared" si="3"/>
        <v>0</v>
      </c>
      <c r="F31" s="119"/>
      <c r="G31" s="120" t="e">
        <f t="shared" si="1"/>
        <v>#REF!</v>
      </c>
      <c r="I31" s="122"/>
      <c r="J31" s="49"/>
      <c r="K31" s="123"/>
      <c r="L31" s="49"/>
      <c r="N31" s="26"/>
    </row>
    <row r="32" spans="1:15" s="48" customFormat="1" x14ac:dyDescent="0.2">
      <c r="A32" s="118">
        <v>7</v>
      </c>
      <c r="B32" s="118" t="s">
        <v>270</v>
      </c>
      <c r="C32" s="119" t="e">
        <f t="shared" si="0"/>
        <v>#REF!</v>
      </c>
      <c r="D32" s="119" t="e">
        <f t="shared" si="2"/>
        <v>#REF!</v>
      </c>
      <c r="E32" s="119">
        <f t="shared" si="3"/>
        <v>0</v>
      </c>
      <c r="F32" s="119"/>
      <c r="G32" s="120" t="e">
        <f t="shared" si="1"/>
        <v>#REF!</v>
      </c>
      <c r="I32" s="122"/>
      <c r="J32" s="49"/>
      <c r="K32" s="123"/>
      <c r="L32" s="49"/>
      <c r="N32" s="26"/>
    </row>
    <row r="33" spans="1:14" s="48" customFormat="1" x14ac:dyDescent="0.2">
      <c r="A33" s="118">
        <v>8</v>
      </c>
      <c r="B33" s="118" t="s">
        <v>271</v>
      </c>
      <c r="C33" s="119" t="e">
        <f t="shared" si="0"/>
        <v>#REF!</v>
      </c>
      <c r="D33" s="119" t="e">
        <f t="shared" si="2"/>
        <v>#REF!</v>
      </c>
      <c r="E33" s="119">
        <f t="shared" si="3"/>
        <v>0</v>
      </c>
      <c r="F33" s="119"/>
      <c r="G33" s="120" t="e">
        <f t="shared" si="1"/>
        <v>#REF!</v>
      </c>
      <c r="I33" s="122"/>
      <c r="J33" s="49"/>
      <c r="K33" s="123"/>
      <c r="L33" s="49"/>
      <c r="N33" s="26"/>
    </row>
    <row r="34" spans="1:14" s="48" customFormat="1" x14ac:dyDescent="0.2">
      <c r="A34" s="118">
        <v>9</v>
      </c>
      <c r="B34" s="118" t="s">
        <v>272</v>
      </c>
      <c r="C34" s="119" t="e">
        <f t="shared" si="0"/>
        <v>#REF!</v>
      </c>
      <c r="D34" s="119" t="e">
        <f t="shared" si="2"/>
        <v>#REF!</v>
      </c>
      <c r="E34" s="119">
        <f t="shared" si="3"/>
        <v>0</v>
      </c>
      <c r="F34" s="119"/>
      <c r="G34" s="120" t="e">
        <f t="shared" si="1"/>
        <v>#REF!</v>
      </c>
      <c r="I34" s="122"/>
      <c r="J34" s="49"/>
      <c r="K34" s="123"/>
      <c r="L34" s="49"/>
      <c r="N34" s="26"/>
    </row>
    <row r="35" spans="1:14" s="48" customFormat="1" x14ac:dyDescent="0.2">
      <c r="A35" s="118">
        <v>10</v>
      </c>
      <c r="B35" s="118" t="s">
        <v>273</v>
      </c>
      <c r="C35" s="119" t="e">
        <f t="shared" si="0"/>
        <v>#REF!</v>
      </c>
      <c r="D35" s="119" t="e">
        <f t="shared" si="2"/>
        <v>#REF!</v>
      </c>
      <c r="E35" s="119">
        <f t="shared" si="3"/>
        <v>0</v>
      </c>
      <c r="F35" s="119"/>
      <c r="G35" s="120" t="e">
        <f t="shared" si="1"/>
        <v>#REF!</v>
      </c>
      <c r="I35" s="122"/>
      <c r="J35" s="49"/>
      <c r="K35" s="123"/>
      <c r="L35" s="49"/>
      <c r="N35" s="26"/>
    </row>
    <row r="36" spans="1:14" s="48" customFormat="1" x14ac:dyDescent="0.2">
      <c r="A36" s="118">
        <v>11</v>
      </c>
      <c r="B36" s="118" t="s">
        <v>274</v>
      </c>
      <c r="C36" s="119" t="e">
        <f t="shared" si="0"/>
        <v>#REF!</v>
      </c>
      <c r="D36" s="119" t="e">
        <f t="shared" si="2"/>
        <v>#REF!</v>
      </c>
      <c r="E36" s="119">
        <f t="shared" si="3"/>
        <v>0</v>
      </c>
      <c r="F36" s="119"/>
      <c r="G36" s="120" t="e">
        <f t="shared" si="1"/>
        <v>#REF!</v>
      </c>
      <c r="I36" s="122"/>
      <c r="J36" s="49"/>
      <c r="K36" s="123"/>
      <c r="L36" s="49"/>
      <c r="N36" s="26"/>
    </row>
    <row r="37" spans="1:14" s="48" customFormat="1" x14ac:dyDescent="0.2">
      <c r="A37" s="118">
        <v>12</v>
      </c>
      <c r="B37" s="118" t="s">
        <v>275</v>
      </c>
      <c r="C37" s="119" t="e">
        <f t="shared" si="0"/>
        <v>#REF!</v>
      </c>
      <c r="D37" s="119" t="e">
        <f t="shared" si="2"/>
        <v>#REF!</v>
      </c>
      <c r="E37" s="119">
        <f t="shared" si="3"/>
        <v>0</v>
      </c>
      <c r="F37" s="119"/>
      <c r="G37" s="120" t="e">
        <f t="shared" si="1"/>
        <v>#REF!</v>
      </c>
      <c r="I37" s="122"/>
      <c r="J37" s="49"/>
      <c r="K37" s="123"/>
      <c r="L37" s="49"/>
      <c r="N37" s="26"/>
    </row>
    <row r="38" spans="1:14" s="48" customFormat="1" x14ac:dyDescent="0.2">
      <c r="A38" s="118">
        <v>13</v>
      </c>
      <c r="B38" s="118" t="s">
        <v>276</v>
      </c>
      <c r="C38" s="119" t="e">
        <f t="shared" si="0"/>
        <v>#REF!</v>
      </c>
      <c r="D38" s="119" t="e">
        <f t="shared" si="2"/>
        <v>#REF!</v>
      </c>
      <c r="E38" s="119">
        <f t="shared" si="3"/>
        <v>0</v>
      </c>
      <c r="F38" s="119"/>
      <c r="G38" s="120" t="e">
        <f t="shared" si="1"/>
        <v>#REF!</v>
      </c>
      <c r="I38" s="122"/>
      <c r="J38" s="49"/>
      <c r="K38" s="123"/>
      <c r="L38" s="49"/>
      <c r="N38" s="26"/>
    </row>
    <row r="39" spans="1:14" s="48" customFormat="1" x14ac:dyDescent="0.2">
      <c r="A39" s="118">
        <v>14</v>
      </c>
      <c r="B39" s="118" t="s">
        <v>277</v>
      </c>
      <c r="C39" s="119" t="e">
        <f t="shared" si="0"/>
        <v>#REF!</v>
      </c>
      <c r="D39" s="119" t="e">
        <f t="shared" si="2"/>
        <v>#REF!</v>
      </c>
      <c r="E39" s="119">
        <f t="shared" si="3"/>
        <v>0</v>
      </c>
      <c r="F39" s="119"/>
      <c r="G39" s="120" t="e">
        <f t="shared" si="1"/>
        <v>#REF!</v>
      </c>
      <c r="I39" s="122"/>
      <c r="J39" s="49"/>
      <c r="K39" s="123"/>
      <c r="L39" s="49"/>
      <c r="N39" s="26"/>
    </row>
    <row r="40" spans="1:14" s="48" customFormat="1" x14ac:dyDescent="0.2">
      <c r="A40" s="118">
        <v>15</v>
      </c>
      <c r="B40" s="118" t="s">
        <v>278</v>
      </c>
      <c r="C40" s="119" t="e">
        <f t="shared" si="0"/>
        <v>#REF!</v>
      </c>
      <c r="D40" s="119" t="e">
        <f t="shared" si="2"/>
        <v>#REF!</v>
      </c>
      <c r="E40" s="119">
        <f t="shared" si="3"/>
        <v>0</v>
      </c>
      <c r="F40" s="119"/>
      <c r="G40" s="120" t="e">
        <f t="shared" si="1"/>
        <v>#REF!</v>
      </c>
      <c r="I40" s="122"/>
      <c r="J40" s="49"/>
      <c r="K40" s="123"/>
      <c r="L40" s="49"/>
      <c r="N40" s="26"/>
    </row>
    <row r="41" spans="1:14" s="48" customFormat="1" x14ac:dyDescent="0.2">
      <c r="A41" s="118">
        <v>16</v>
      </c>
      <c r="B41" s="118" t="s">
        <v>279</v>
      </c>
      <c r="C41" s="119" t="e">
        <f t="shared" si="0"/>
        <v>#REF!</v>
      </c>
      <c r="D41" s="119" t="e">
        <f t="shared" si="2"/>
        <v>#REF!</v>
      </c>
      <c r="E41" s="119">
        <f t="shared" si="3"/>
        <v>0</v>
      </c>
      <c r="F41" s="119"/>
      <c r="G41" s="120" t="e">
        <f t="shared" si="1"/>
        <v>#REF!</v>
      </c>
      <c r="I41" s="122"/>
      <c r="J41" s="49"/>
      <c r="K41" s="123"/>
      <c r="L41" s="49"/>
      <c r="N41" s="26"/>
    </row>
    <row r="42" spans="1:14" s="48" customFormat="1" x14ac:dyDescent="0.2">
      <c r="A42" s="118">
        <v>17</v>
      </c>
      <c r="B42" s="118" t="s">
        <v>280</v>
      </c>
      <c r="C42" s="119" t="e">
        <f t="shared" si="0"/>
        <v>#REF!</v>
      </c>
      <c r="D42" s="119" t="e">
        <f t="shared" si="2"/>
        <v>#REF!</v>
      </c>
      <c r="E42" s="119">
        <f t="shared" si="3"/>
        <v>0</v>
      </c>
      <c r="F42" s="119"/>
      <c r="G42" s="120" t="e">
        <f t="shared" si="1"/>
        <v>#REF!</v>
      </c>
      <c r="I42" s="122"/>
      <c r="J42" s="49"/>
      <c r="K42" s="123"/>
      <c r="L42" s="49"/>
      <c r="N42" s="26"/>
    </row>
    <row r="43" spans="1:14" s="48" customFormat="1" x14ac:dyDescent="0.2">
      <c r="A43" s="118">
        <v>18</v>
      </c>
      <c r="B43" s="118" t="s">
        <v>281</v>
      </c>
      <c r="C43" s="119" t="e">
        <f t="shared" si="0"/>
        <v>#REF!</v>
      </c>
      <c r="D43" s="119" t="e">
        <f t="shared" si="2"/>
        <v>#REF!</v>
      </c>
      <c r="E43" s="119">
        <f t="shared" si="3"/>
        <v>0</v>
      </c>
      <c r="F43" s="119"/>
      <c r="G43" s="120" t="e">
        <f t="shared" si="1"/>
        <v>#REF!</v>
      </c>
      <c r="I43" s="122"/>
      <c r="J43" s="49"/>
      <c r="K43" s="123"/>
      <c r="L43" s="49"/>
      <c r="N43" s="26"/>
    </row>
    <row r="44" spans="1:14" s="48" customFormat="1" x14ac:dyDescent="0.2">
      <c r="A44" s="118">
        <v>19</v>
      </c>
      <c r="B44" s="118" t="s">
        <v>282</v>
      </c>
      <c r="C44" s="119" t="e">
        <f t="shared" si="0"/>
        <v>#REF!</v>
      </c>
      <c r="D44" s="119" t="e">
        <f t="shared" si="2"/>
        <v>#REF!</v>
      </c>
      <c r="E44" s="119">
        <f t="shared" si="3"/>
        <v>0</v>
      </c>
      <c r="F44" s="119"/>
      <c r="G44" s="120" t="e">
        <f t="shared" si="1"/>
        <v>#REF!</v>
      </c>
      <c r="I44" s="122"/>
      <c r="J44" s="49"/>
      <c r="K44" s="123"/>
      <c r="L44" s="49"/>
      <c r="N44" s="26"/>
    </row>
    <row r="45" spans="1:14" s="48" customFormat="1" x14ac:dyDescent="0.2">
      <c r="A45" s="118">
        <v>20</v>
      </c>
      <c r="B45" s="118" t="s">
        <v>283</v>
      </c>
      <c r="C45" s="119" t="e">
        <f t="shared" si="0"/>
        <v>#REF!</v>
      </c>
      <c r="D45" s="119" t="e">
        <f t="shared" si="2"/>
        <v>#REF!</v>
      </c>
      <c r="E45" s="119">
        <f t="shared" si="3"/>
        <v>0</v>
      </c>
      <c r="F45" s="119"/>
      <c r="G45" s="120" t="e">
        <f t="shared" si="1"/>
        <v>#REF!</v>
      </c>
      <c r="I45" s="122"/>
      <c r="J45" s="49"/>
      <c r="K45" s="123"/>
      <c r="L45" s="49"/>
      <c r="N45" s="26"/>
    </row>
    <row r="46" spans="1:14" s="48" customFormat="1" x14ac:dyDescent="0.2">
      <c r="A46" s="118">
        <v>21</v>
      </c>
      <c r="B46" s="118" t="s">
        <v>284</v>
      </c>
      <c r="C46" s="119" t="e">
        <f t="shared" si="0"/>
        <v>#REF!</v>
      </c>
      <c r="D46" s="119" t="e">
        <f t="shared" si="2"/>
        <v>#REF!</v>
      </c>
      <c r="E46" s="119">
        <f t="shared" si="3"/>
        <v>0</v>
      </c>
      <c r="F46" s="119"/>
      <c r="G46" s="120" t="e">
        <f t="shared" si="1"/>
        <v>#REF!</v>
      </c>
      <c r="I46" s="122"/>
      <c r="J46" s="49"/>
      <c r="K46" s="123"/>
      <c r="L46" s="49"/>
      <c r="N46" s="26"/>
    </row>
    <row r="47" spans="1:14" s="48" customFormat="1" x14ac:dyDescent="0.2">
      <c r="A47" s="118">
        <v>22</v>
      </c>
      <c r="B47" s="118" t="s">
        <v>285</v>
      </c>
      <c r="C47" s="119" t="e">
        <f t="shared" si="0"/>
        <v>#REF!</v>
      </c>
      <c r="D47" s="119" t="e">
        <f t="shared" si="2"/>
        <v>#REF!</v>
      </c>
      <c r="E47" s="119">
        <f t="shared" si="3"/>
        <v>0</v>
      </c>
      <c r="F47" s="119"/>
      <c r="G47" s="120" t="e">
        <f t="shared" si="1"/>
        <v>#REF!</v>
      </c>
      <c r="I47" s="122"/>
      <c r="J47" s="49"/>
      <c r="K47" s="123"/>
      <c r="L47" s="49"/>
      <c r="N47" s="26"/>
    </row>
    <row r="48" spans="1:14" s="48" customFormat="1" x14ac:dyDescent="0.2">
      <c r="A48" s="118">
        <v>23</v>
      </c>
      <c r="B48" s="118" t="s">
        <v>286</v>
      </c>
      <c r="C48" s="119" t="e">
        <f t="shared" si="0"/>
        <v>#REF!</v>
      </c>
      <c r="D48" s="119" t="e">
        <f t="shared" si="2"/>
        <v>#REF!</v>
      </c>
      <c r="E48" s="119">
        <f t="shared" si="3"/>
        <v>0</v>
      </c>
      <c r="F48" s="119"/>
      <c r="G48" s="120" t="e">
        <f t="shared" si="1"/>
        <v>#REF!</v>
      </c>
      <c r="I48" s="122"/>
      <c r="J48" s="49"/>
      <c r="K48" s="123"/>
      <c r="L48" s="49"/>
      <c r="N48" s="26"/>
    </row>
    <row r="49" spans="1:14" s="48" customFormat="1" x14ac:dyDescent="0.2">
      <c r="A49" s="118">
        <v>24</v>
      </c>
      <c r="B49" s="118" t="s">
        <v>287</v>
      </c>
      <c r="C49" s="119" t="e">
        <f t="shared" si="0"/>
        <v>#REF!</v>
      </c>
      <c r="D49" s="119" t="e">
        <f t="shared" si="2"/>
        <v>#REF!</v>
      </c>
      <c r="E49" s="119">
        <f t="shared" si="3"/>
        <v>0</v>
      </c>
      <c r="F49" s="119"/>
      <c r="G49" s="120" t="e">
        <f t="shared" si="1"/>
        <v>#REF!</v>
      </c>
      <c r="I49" s="122"/>
      <c r="J49" s="49"/>
      <c r="K49" s="123"/>
      <c r="L49" s="49"/>
      <c r="N49" s="26"/>
    </row>
    <row r="50" spans="1:14" s="48" customFormat="1" x14ac:dyDescent="0.2">
      <c r="A50" s="118">
        <v>25</v>
      </c>
      <c r="B50" s="118" t="s">
        <v>288</v>
      </c>
      <c r="C50" s="119" t="e">
        <f t="shared" si="0"/>
        <v>#REF!</v>
      </c>
      <c r="D50" s="119" t="e">
        <f t="shared" si="2"/>
        <v>#REF!</v>
      </c>
      <c r="E50" s="119">
        <f t="shared" si="3"/>
        <v>0</v>
      </c>
      <c r="F50" s="119" t="e">
        <f>D21</f>
        <v>#REF!</v>
      </c>
      <c r="G50" s="120" t="e">
        <f>G49-C50-F50</f>
        <v>#REF!</v>
      </c>
      <c r="I50" s="122"/>
      <c r="J50" s="49"/>
      <c r="K50" s="123"/>
      <c r="L50" s="49"/>
      <c r="N50" s="26"/>
    </row>
    <row r="51" spans="1:14" s="48" customFormat="1" x14ac:dyDescent="0.2">
      <c r="A51" s="118">
        <v>26</v>
      </c>
      <c r="B51" s="118" t="s">
        <v>289</v>
      </c>
      <c r="C51" s="119" t="e">
        <f t="shared" si="0"/>
        <v>#REF!</v>
      </c>
      <c r="D51" s="119" t="e">
        <f t="shared" si="2"/>
        <v>#REF!</v>
      </c>
      <c r="E51" s="119">
        <f>E50</f>
        <v>0</v>
      </c>
      <c r="F51" s="119"/>
      <c r="G51" s="120" t="e">
        <f>G50-C51-F51</f>
        <v>#REF!</v>
      </c>
      <c r="I51" s="122"/>
      <c r="J51" s="49"/>
      <c r="K51" s="123"/>
      <c r="L51" s="49"/>
      <c r="N51" s="26"/>
    </row>
    <row r="52" spans="1:14" x14ac:dyDescent="0.2">
      <c r="A52" s="10" t="s">
        <v>113</v>
      </c>
      <c r="B52" s="124"/>
      <c r="C52" s="125"/>
      <c r="D52" s="126"/>
      <c r="E52" s="126"/>
      <c r="F52" s="126"/>
      <c r="G52" s="82"/>
    </row>
    <row r="53" spans="1:14" ht="25.5" customHeight="1" x14ac:dyDescent="0.2">
      <c r="A53" s="723" t="s">
        <v>114</v>
      </c>
      <c r="B53" s="723"/>
      <c r="C53" s="723"/>
      <c r="D53" s="723"/>
      <c r="E53" s="723"/>
      <c r="F53" s="723"/>
      <c r="G53" s="723"/>
    </row>
    <row r="54" spans="1:14" ht="28.5" customHeight="1" x14ac:dyDescent="0.2">
      <c r="A54" s="722" t="s">
        <v>115</v>
      </c>
      <c r="B54" s="722"/>
      <c r="C54" s="722"/>
      <c r="D54" s="722"/>
      <c r="E54" s="722"/>
      <c r="F54" s="722"/>
      <c r="G54" s="722"/>
    </row>
    <row r="55" spans="1:14" x14ac:dyDescent="0.2">
      <c r="A55" s="722" t="s">
        <v>116</v>
      </c>
      <c r="B55" s="722"/>
      <c r="C55" s="722"/>
      <c r="D55" s="722"/>
      <c r="E55" s="722"/>
      <c r="F55" s="722"/>
      <c r="G55" s="722"/>
    </row>
    <row r="56" spans="1:14" ht="27.75" customHeight="1" x14ac:dyDescent="0.2">
      <c r="A56" s="722" t="s">
        <v>117</v>
      </c>
      <c r="B56" s="722"/>
      <c r="C56" s="722"/>
      <c r="D56" s="722"/>
      <c r="E56" s="722"/>
      <c r="F56" s="722"/>
      <c r="G56" s="722"/>
    </row>
    <row r="57" spans="1:14" x14ac:dyDescent="0.2">
      <c r="A57" s="723" t="s">
        <v>118</v>
      </c>
      <c r="B57" s="723"/>
      <c r="C57" s="723"/>
      <c r="D57" s="723"/>
      <c r="E57" s="723"/>
      <c r="F57" s="723"/>
      <c r="G57" s="723"/>
      <c r="H57" s="81"/>
      <c r="I57" s="127"/>
      <c r="J57" s="127"/>
    </row>
    <row r="58" spans="1:14" ht="21" customHeight="1" x14ac:dyDescent="0.2">
      <c r="A58" s="725" t="s">
        <v>119</v>
      </c>
      <c r="B58" s="725"/>
      <c r="C58" s="725"/>
      <c r="D58" s="725"/>
      <c r="E58" s="725"/>
      <c r="F58" s="725"/>
      <c r="G58" s="725"/>
      <c r="H58" s="81"/>
      <c r="I58" s="127"/>
      <c r="J58" s="127"/>
    </row>
    <row r="59" spans="1:14" ht="27" customHeight="1" x14ac:dyDescent="0.2">
      <c r="A59" s="725" t="s">
        <v>414</v>
      </c>
      <c r="B59" s="725"/>
      <c r="C59" s="725"/>
      <c r="D59" s="725"/>
      <c r="E59" s="725"/>
      <c r="F59" s="725"/>
      <c r="G59" s="725"/>
      <c r="H59" s="81"/>
      <c r="I59" s="127"/>
      <c r="J59" s="127"/>
    </row>
    <row r="60" spans="1:14" x14ac:dyDescent="0.2">
      <c r="A60" s="722" t="s">
        <v>413</v>
      </c>
      <c r="B60" s="722"/>
      <c r="C60" s="722"/>
      <c r="D60" s="722"/>
      <c r="E60" s="722"/>
      <c r="F60" s="722"/>
      <c r="G60" s="722"/>
      <c r="H60" s="81"/>
      <c r="I60" s="127"/>
      <c r="J60" s="127"/>
    </row>
    <row r="61" spans="1:14" x14ac:dyDescent="0.2">
      <c r="A61" s="26" t="s">
        <v>91</v>
      </c>
      <c r="H61" s="81"/>
      <c r="I61" s="127"/>
      <c r="J61" s="127"/>
    </row>
    <row r="62" spans="1:14" x14ac:dyDescent="0.2">
      <c r="H62" s="81"/>
      <c r="I62" s="127"/>
      <c r="J62" s="127"/>
    </row>
    <row r="63" spans="1:14" x14ac:dyDescent="0.2">
      <c r="A63" s="128"/>
      <c r="B63" s="129"/>
      <c r="F63" s="130"/>
      <c r="G63" s="130"/>
      <c r="H63" s="81"/>
      <c r="I63" s="127"/>
      <c r="J63" s="127"/>
    </row>
    <row r="64" spans="1:14" x14ac:dyDescent="0.2">
      <c r="A64" s="724" t="s">
        <v>92</v>
      </c>
      <c r="B64" s="724"/>
      <c r="F64" s="720" t="s">
        <v>93</v>
      </c>
      <c r="G64" s="720"/>
      <c r="H64" s="81"/>
      <c r="I64" s="127"/>
      <c r="J64" s="127"/>
    </row>
  </sheetData>
  <sheetProtection sheet="1" objects="1" scenarios="1"/>
  <mergeCells count="28">
    <mergeCell ref="A64:B64"/>
    <mergeCell ref="F64:G64"/>
    <mergeCell ref="A60:G60"/>
    <mergeCell ref="A54:G54"/>
    <mergeCell ref="A56:G56"/>
    <mergeCell ref="A58:G58"/>
    <mergeCell ref="A59:G59"/>
    <mergeCell ref="A55:G55"/>
    <mergeCell ref="A57:G57"/>
    <mergeCell ref="B6:C6"/>
    <mergeCell ref="B7:C7"/>
    <mergeCell ref="B8:C8"/>
    <mergeCell ref="D12:E12"/>
    <mergeCell ref="D19:E19"/>
    <mergeCell ref="D20:E20"/>
    <mergeCell ref="D13:E13"/>
    <mergeCell ref="D14:E14"/>
    <mergeCell ref="D21:E21"/>
    <mergeCell ref="A53:G53"/>
    <mergeCell ref="D22:E22"/>
    <mergeCell ref="D16:E16"/>
    <mergeCell ref="D18:E18"/>
    <mergeCell ref="D15:E15"/>
    <mergeCell ref="B1:C1"/>
    <mergeCell ref="B2:C2"/>
    <mergeCell ref="B3:C3"/>
    <mergeCell ref="B4:C4"/>
    <mergeCell ref="B5:C5"/>
  </mergeCells>
  <hyperlinks>
    <hyperlink ref="G8" location="INPUT!A1" display="BACK TO INPUT" xr:uid="{00000000-0004-0000-0800-000000000000}"/>
  </hyperlinks>
  <printOptions horizontalCentered="1"/>
  <pageMargins left="0.25" right="0.25" top="0.25" bottom="0.25" header="0.3" footer="0.3"/>
  <pageSetup scale="87" fitToHeight="0" orientation="portrait" r:id="rId1"/>
  <rowBreaks count="1" manualBreakCount="1">
    <brk id="48"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3D9EE73396C34B9836C4E10D73254F" ma:contentTypeVersion="13" ma:contentTypeDescription="Create a new document." ma:contentTypeScope="" ma:versionID="2b733a2ec143a1e85d6f951b37a26deb">
  <xsd:schema xmlns:xsd="http://www.w3.org/2001/XMLSchema" xmlns:xs="http://www.w3.org/2001/XMLSchema" xmlns:p="http://schemas.microsoft.com/office/2006/metadata/properties" xmlns:ns3="c7b7321a-6f03-4161-b311-cc8824679a82" xmlns:ns4="4cd86eb5-d845-42e6-a4d4-3477f1b5e11d" targetNamespace="http://schemas.microsoft.com/office/2006/metadata/properties" ma:root="true" ma:fieldsID="61d22c0178e71ff8cbca5c6ea87d32e9" ns3:_="" ns4:_="">
    <xsd:import namespace="c7b7321a-6f03-4161-b311-cc8824679a82"/>
    <xsd:import namespace="4cd86eb5-d845-42e6-a4d4-3477f1b5e11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b7321a-6f03-4161-b311-cc8824679a8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d86eb5-d845-42e6-a4d4-3477f1b5e1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B1BB2-F364-4140-B379-1EC0C3FD9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b7321a-6f03-4161-b311-cc8824679a82"/>
    <ds:schemaRef ds:uri="4cd86eb5-d845-42e6-a4d4-3477f1b5e1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762D90-0166-415A-BE7E-2E44E1C79324}">
  <ds:schemaRefs>
    <ds:schemaRef ds:uri="http://schemas.microsoft.com/sharepoint/v3/contenttype/forms"/>
  </ds:schemaRefs>
</ds:datastoreItem>
</file>

<file path=customXml/itemProps3.xml><?xml version="1.0" encoding="utf-8"?>
<ds:datastoreItem xmlns:ds="http://schemas.openxmlformats.org/officeDocument/2006/customXml" ds:itemID="{5128468F-C1AC-4432-BAE3-96D52883F4C5}">
  <ds:schemaRefs>
    <ds:schemaRef ds:uri="http://schemas.microsoft.com/office/2006/documentManagement/types"/>
    <ds:schemaRef ds:uri="4cd86eb5-d845-42e6-a4d4-3477f1b5e11d"/>
    <ds:schemaRef ds:uri="http://schemas.microsoft.com/office/infopath/2007/PartnerControls"/>
    <ds:schemaRef ds:uri="http://purl.org/dc/dcmitype/"/>
    <ds:schemaRef ds:uri="http://purl.org/dc/terms/"/>
    <ds:schemaRef ds:uri="http://schemas.openxmlformats.org/package/2006/metadata/core-properties"/>
    <ds:schemaRef ds:uri="c7b7321a-6f03-4161-b311-cc8824679a82"/>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SOLA Pricelist</vt:lpstr>
      <vt:lpstr>INPUT</vt:lpstr>
      <vt:lpstr>Sheet1</vt:lpstr>
      <vt:lpstr>Summary</vt:lpstr>
      <vt:lpstr>SOLA-1</vt:lpstr>
      <vt:lpstr>SOLA-2</vt:lpstr>
      <vt:lpstr>RFO1</vt:lpstr>
      <vt:lpstr>RFO2</vt:lpstr>
      <vt:lpstr>RFO3</vt:lpstr>
      <vt:lpstr>RFO4</vt:lpstr>
      <vt:lpstr>RFO5</vt:lpstr>
      <vt:lpstr>SOLA-3</vt:lpstr>
      <vt:lpstr>SOLA-4</vt:lpstr>
      <vt:lpstr>SOLA-5</vt:lpstr>
      <vt:lpstr>SOLA-6</vt:lpstr>
      <vt:lpstr>CSISUM</vt:lpstr>
      <vt:lpstr>CS1</vt:lpstr>
      <vt:lpstr>CS2</vt:lpstr>
      <vt:lpstr>CS3</vt:lpstr>
      <vt:lpstr>CS4</vt:lpstr>
      <vt:lpstr>CS5</vt:lpstr>
      <vt:lpstr>Sheet2</vt:lpstr>
      <vt:lpstr>'CS1'!Print_Area</vt:lpstr>
      <vt:lpstr>'CS5'!Print_Area</vt:lpstr>
      <vt:lpstr>INPUT!Print_Area</vt:lpstr>
      <vt:lpstr>'RFO1'!Print_Area</vt:lpstr>
      <vt:lpstr>'RFO2'!Print_Area</vt:lpstr>
      <vt:lpstr>'RFO3'!Print_Area</vt:lpstr>
      <vt:lpstr>'RFO4'!Print_Area</vt:lpstr>
      <vt:lpstr>'RFO5'!Print_Area</vt:lpstr>
      <vt:lpstr>'SOLA-1'!Print_Area</vt:lpstr>
      <vt:lpstr>'SOLA-2'!Print_Area</vt:lpstr>
      <vt:lpstr>'SOLA-3'!Print_Area</vt:lpstr>
      <vt:lpstr>'SOLA-4'!Print_Area</vt:lpstr>
      <vt:lpstr>'SOLA-5'!Print_Area</vt:lpstr>
      <vt:lpstr>'SOLA-6'!Print_Area</vt:lpstr>
      <vt:lpstr>Summary!Print_Area</vt:lpstr>
      <vt:lpstr>'SOLA Pricelist'!Print_Titles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Jamajia C. Lajom</dc:creator>
  <cp:lastModifiedBy>Microsoft Office User</cp:lastModifiedBy>
  <cp:lastPrinted>2021-06-03T01:19:06Z</cp:lastPrinted>
  <dcterms:created xsi:type="dcterms:W3CDTF">2018-02-25T21:59:56Z</dcterms:created>
  <dcterms:modified xsi:type="dcterms:W3CDTF">2021-06-03T02:56:37Z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0x0101008A3D9EE73396C34B9836C4E10D73254F</vt:lpwstr>
  </property>
</Properties>
</file>